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6" firstSheet="3" activeTab="4"/>
  </bookViews>
  <sheets>
    <sheet name="ПРАЙС" sheetId="1" r:id="rId1"/>
    <sheet name="стационарный-моноблок" sheetId="2" r:id="rId2"/>
    <sheet name="стац-без-индикации-И22Д0" sheetId="3" r:id="rId3"/>
    <sheet name="стационарные с индикацией" sheetId="4" r:id="rId4"/>
    <sheet name="переносные с выносным датчиком" sheetId="5" r:id="rId5"/>
    <sheet name="переносные моноблоки (индивидуа" sheetId="6" r:id="rId6"/>
    <sheet name="СГИ" sheetId="7" r:id="rId7"/>
    <sheet name="СГ1" sheetId="8" r:id="rId8"/>
    <sheet name="ПГ" sheetId="9" r:id="rId9"/>
    <sheet name="Кабель" sheetId="10" r:id="rId10"/>
  </sheets>
  <definedNames>
    <definedName name="_xlnm._FilterDatabase" localSheetId="0" hidden="1">'ПРАЙС'!$A$1:$H$376</definedName>
    <definedName name="CH4_без_индикации">'ПРАЙС'!$B$139</definedName>
    <definedName name="Excel_BuiltIn__FilterDatabase_10">'СГ1'!#REF!</definedName>
    <definedName name="Excel_BuiltIn__FilterDatabase_3">'стац-без-индикации-И22Д0'!$J$1:$K$1</definedName>
    <definedName name="Excel_BuiltIn__FilterDatabase_9">'СГИ'!#REF!</definedName>
    <definedName name="OLE_LINK2_1">'ПРАЙС'!#REF!</definedName>
    <definedName name="OLE_LINK3_1">'ПРАЙС'!#REF!</definedName>
    <definedName name="OLE_LINK5_1">'ПРАЙС'!#REF!</definedName>
    <definedName name="Анализатор_остаточного_активного_хлора_ВАКХ_2000">'ПРАЙС'!$B$287</definedName>
    <definedName name="ВАКХ_2000_1">'ПРАЙС'!#REF!</definedName>
    <definedName name="взрывозащищенные_1">'ПРАЙС'!$A$269</definedName>
    <definedName name="взрывопереносные_1">'ПРАЙС'!$B$108</definedName>
    <definedName name="горючие_без_индикации_1">'ПРАЙС'!#REF!</definedName>
    <definedName name="для_колодцев_1">'ПРАЙС'!$A$2</definedName>
    <definedName name="ОКА_92_1">'ПРАЙС'!$B$5</definedName>
    <definedName name="ОКА_92М_1">'ПРАЙС'!#REF!</definedName>
    <definedName name="ОКА_92МТ_1">'ПРАЙС'!#REF!</definedName>
    <definedName name="ОКА_92Т_1">'ПРАЙС'!$B$12</definedName>
    <definedName name="ОКА_92ТТ_1">'ПРАЙС'!$B$26</definedName>
    <definedName name="ОКА_М_переносной_1">'ПРАЙС'!#REF!</definedName>
    <definedName name="ОКА_М_стационарные_1">'ПРАЙС'!#REF!</definedName>
    <definedName name="ОКА_МТ_1">'ПРАЙС'!#REF!</definedName>
    <definedName name="ОКА_МТТ_1">'ПРАЙС'!#REF!</definedName>
    <definedName name="ОКА_Т_1">'ПРАЙС'!#REF!</definedName>
    <definedName name="ОКА_Т_HCl_1">'ПРАЙС'!$B$232</definedName>
    <definedName name="ОКА_ТТ_1">'ПРАЙС'!#REF!</definedName>
    <definedName name="ОКА_ТТТ_1">'ПРАЙС'!#REF!</definedName>
    <definedName name="оптима_1">'ПРАЙС'!$B$278</definedName>
    <definedName name="переносные_для_опасных_производств_1">'ПРАЙС'!$A$88</definedName>
    <definedName name="рН___1014_для_жидкостей">'ПРАЙС'!#REF!</definedName>
    <definedName name="рН_метры_1">'ПРАЙС'!#REF!</definedName>
    <definedName name="рН_метры_для_мяса_или_сыра_1">'ПРАЙС'!#REF!</definedName>
    <definedName name="системаконтр_1">'ПРАЙС'!$A$275</definedName>
    <definedName name="СО_без_индикации_1">'ПРАЙС'!$B$137</definedName>
    <definedName name="средства_поверки_1">'ПРАЙС'!#REF!</definedName>
    <definedName name="стационарные_для_жилкомхоза_1">'ПРАЙС'!#REF!</definedName>
    <definedName name="стационарные_для_котельных_1">'ПРАЙС'!$A$133</definedName>
    <definedName name="стационарные_для_опасных_производств_1">'ПРАЙС'!$A$186</definedName>
    <definedName name="стационарные_фтор_фтористый_водород_1">'ПРАЙС'!$B$256</definedName>
    <definedName name="токсичные_без_индикации_1">'ПРАЙС'!$B$190</definedName>
    <definedName name="уровнемеры_1">'ПРАЙС'!$A$312</definedName>
    <definedName name="Хоббит_F_HF_1">'ПРАЙС'!#REF!</definedName>
    <definedName name="Хоббит_F_или_HF_1">'ПРАЙС'!#REF!</definedName>
    <definedName name="Хоббит_Т_горючие_переносные_1">'ПРАЙС'!#REF!</definedName>
    <definedName name="Хоббит_Т_горючие_стандартные_1">'ПРАЙС'!$B$151</definedName>
    <definedName name="Хоббит_Т_кислород_переносные_1">'ПРАЙС'!#REF!</definedName>
    <definedName name="Хоббит_Т_СО_горючие_стандартные_1">'ПРАЙС'!$B$167</definedName>
    <definedName name="Хоббит_Т_СО_стандартные_1">'ПРАЙС'!$B$145</definedName>
    <definedName name="Хоббит_Т_токсичные_переносные_1">'ПРАЙС'!#REF!</definedName>
    <definedName name="Хоббит_Т_токсичные_стандартные_1">'ПРАЙС'!$B$196</definedName>
  </definedNames>
  <calcPr fullCalcOnLoad="1"/>
</workbook>
</file>

<file path=xl/sharedStrings.xml><?xml version="1.0" encoding="utf-8"?>
<sst xmlns="http://schemas.openxmlformats.org/spreadsheetml/2006/main" count="1941" uniqueCount="612">
  <si>
    <t>Наименование</t>
  </si>
  <si>
    <t>кол-во    каналов</t>
  </si>
  <si>
    <t>измеряемые газы</t>
  </si>
  <si>
    <t>диапазон измерения</t>
  </si>
  <si>
    <t>Переносные приборы с выносным датчиком      для безопасности работ в колодцах, подвалах, цистернах</t>
  </si>
  <si>
    <r>
      <t>О</t>
    </r>
    <r>
      <rPr>
        <b/>
        <vertAlign val="subscript"/>
        <sz val="16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</si>
  <si>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HCl</t>
    </r>
  </si>
  <si>
    <t>№</t>
  </si>
  <si>
    <t xml:space="preserve">Цена руб. за 1 шт. (без НДС и доставки) при объемах закупки </t>
  </si>
  <si>
    <t>каналов</t>
  </si>
  <si>
    <t>1 - 2</t>
  </si>
  <si>
    <t>3 - 4</t>
  </si>
  <si>
    <t>5 и &gt;5</t>
  </si>
  <si>
    <t>Газоанализатор модификации ОКА-92</t>
  </si>
  <si>
    <t>1</t>
  </si>
  <si>
    <r>
      <t>O</t>
    </r>
    <r>
      <rPr>
        <vertAlign val="subscript"/>
        <sz val="10"/>
        <rFont val="Times New Roman"/>
        <family val="1"/>
      </rPr>
      <t>2</t>
    </r>
  </si>
  <si>
    <t>0 - 30 об.%</t>
  </si>
  <si>
    <t>Газоанализатор модификации ОКА-92М с термокаталитическим сенсором</t>
  </si>
  <si>
    <t>2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</si>
  <si>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</si>
  <si>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гор.: 0-10% </t>
    </r>
    <r>
      <rPr>
        <sz val="8"/>
        <rFont val="Times New Roman"/>
        <family val="1"/>
      </rPr>
      <t>НКПР</t>
    </r>
  </si>
  <si>
    <t>Газоанализатор модификации ОКА-92М с оптическим сенсором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</si>
  <si>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</si>
  <si>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CH: 0-10% </t>
    </r>
    <r>
      <rPr>
        <sz val="8"/>
        <rFont val="Times New Roman"/>
        <family val="1"/>
      </rPr>
      <t>НКПР</t>
    </r>
  </si>
  <si>
    <t>Газоанализатор модификации ОКА-92МТ с термокаталитическим сенсором</t>
  </si>
  <si>
    <t>3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</si>
  <si>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CO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</si>
  <si>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гор.: 0-10% </t>
    </r>
    <r>
      <rPr>
        <sz val="8"/>
        <rFont val="Times New Roman"/>
        <family val="1"/>
      </rPr>
      <t>НКПР</t>
    </r>
  </si>
  <si>
    <t>Газоанализатор модификации ОКА-92МТ с оптическим сенсором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</si>
  <si>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CO и один из газов: CH4, C3H8, C6H14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</si>
  <si>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CH: 0-10% </t>
    </r>
    <r>
      <rPr>
        <sz val="8"/>
        <rFont val="Times New Roman"/>
        <family val="1"/>
      </rPr>
      <t>НКПР</t>
    </r>
  </si>
  <si>
    <t>дополн. каналы горюч. газов (термокаталитический сенсор)</t>
  </si>
  <si>
    <t>1 - 3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</si>
  <si>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</si>
  <si>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0 - 10 % НКПР</t>
  </si>
  <si>
    <t>дополн. каналы горюч. газов (оптический сенсор)</t>
  </si>
  <si>
    <t>CHopt</t>
  </si>
  <si>
    <t>дополн. каналы токсич. газов (модификации ОКА-92Т и ОКА-92МТ)</t>
  </si>
  <si>
    <r>
      <t>Cl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</si>
  <si>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</si>
  <si>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8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</si>
  <si>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  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</si>
  <si>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NH</t>
    </r>
    <r>
      <rPr>
        <vertAlign val="subscript"/>
        <sz val="8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</si>
  <si>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</si>
  <si>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NO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</si>
  <si>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</si>
  <si>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хлористого водорода (модификации ОКА-92Т и ОКА-92МТ)</t>
  </si>
  <si>
    <t xml:space="preserve">1 </t>
  </si>
  <si>
    <t>HCl</t>
  </si>
  <si>
    <r>
      <t>HCl: 0-20 мг/м</t>
    </r>
    <r>
      <rPr>
        <vertAlign val="superscript"/>
        <sz val="9"/>
        <rFont val="Times New Roman"/>
        <family val="1"/>
      </rPr>
      <t>3</t>
    </r>
  </si>
  <si>
    <t>дополн. каналы углекисл.газа (модификации ОКА-92Т и ОКА-92МТ)</t>
  </si>
  <si>
    <r>
      <t>CO</t>
    </r>
    <r>
      <rPr>
        <vertAlign val="subscript"/>
        <sz val="8"/>
        <rFont val="Times New Roman"/>
        <family val="1"/>
      </rPr>
      <t>2</t>
    </r>
  </si>
  <si>
    <t>0 - 5 об.%</t>
  </si>
  <si>
    <t>нажать для расчета цены модификаций       ОКА-92М, ОКА-92Т, ОКА-92МТ</t>
  </si>
  <si>
    <t>1 - 5</t>
  </si>
  <si>
    <r>
      <t>включая 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</si>
  <si>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ОКА-Т</t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</si>
  <si>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</si>
  <si>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t>дополн. каналы токсич. газов (модификация ОКА-Т)</t>
  </si>
  <si>
    <r>
      <t>NH</t>
    </r>
    <r>
      <rPr>
        <vertAlign val="subscript"/>
        <sz val="9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</si>
  <si>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</si>
  <si>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NO</t>
    </r>
    <r>
      <rPr>
        <vertAlign val="subscript"/>
        <sz val="9"/>
        <rFont val="Times New Roman"/>
        <family val="1"/>
      </rPr>
      <t>2</t>
    </r>
  </si>
  <si>
    <t>дополн. каналы хлористого водорода (модификация ОКА-Т)</t>
  </si>
  <si>
    <t>дополн. каналы углекисл.газа (модификация ОКА-Т)</t>
  </si>
  <si>
    <t>дополн. каналы горюч. газов (модификация ОКА-МТ, термокаталитический сенсор)</t>
  </si>
  <si>
    <t>дополн. каналы горюч. газов (модификация ОКА-МТ, оптический сенсор)</t>
  </si>
  <si>
    <t>нажать для расчета цены модификаций ОКА-Т, ОКА-МТ</t>
  </si>
  <si>
    <r>
      <t>включая какие-либо из газов: CO,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S, SO</t>
    </r>
    <r>
      <rPr>
        <b/>
        <vertAlign val="subscript"/>
        <sz val="9"/>
        <rFont val="Times New Roman"/>
        <family val="1"/>
      </rPr>
      <t xml:space="preserve">2, </t>
    </r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</si>
  <si>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</si>
  <si>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1 - 4</t>
  </si>
  <si>
    <r>
      <t>включая NH</t>
    </r>
    <r>
      <rPr>
        <b/>
        <vertAlign val="subscript"/>
        <sz val="9"/>
        <rFont val="Times New Roman"/>
        <family val="1"/>
      </rPr>
      <t>3</t>
    </r>
  </si>
  <si>
    <r>
      <t>включая NO</t>
    </r>
    <r>
      <rPr>
        <b/>
        <vertAlign val="subscript"/>
        <sz val="9"/>
        <rFont val="Times New Roman"/>
        <family val="1"/>
      </rPr>
      <t>2</t>
    </r>
  </si>
  <si>
    <t>включая HCl</t>
  </si>
  <si>
    <r>
      <t>CO</t>
    </r>
    <r>
      <rPr>
        <b/>
        <vertAlign val="subscript"/>
        <sz val="9"/>
        <rFont val="Times New Roman"/>
        <family val="1"/>
      </rPr>
      <t>2</t>
    </r>
  </si>
  <si>
    <r>
      <t>включая CO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</si>
  <si>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 ОКА-М  с зондом 0.5, 0.75, 1.0 м (по запросу)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</si>
  <si>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</si>
  <si>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t>0 - 50 % НКПР</t>
  </si>
  <si>
    <t>нажать для расчета цены модификаций ОКА-М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</si>
  <si>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</si>
  <si>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t>нажать для расчета цены взр/защ. сигнализаторов ОКА-М, записать цифру 1 в голубую ячейку и указать требуемый газ цифрой 1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</si>
  <si>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CO как горючий</t>
    </r>
  </si>
  <si>
    <t>Переносные приборы со встроенным датчиком для безопасности работ в колодцах, подвалах, цистернах</t>
  </si>
  <si>
    <t>Сигнализатор   ОКА-М</t>
  </si>
  <si>
    <r>
      <t>O</t>
    </r>
    <r>
      <rPr>
        <b/>
        <vertAlign val="subscript"/>
        <sz val="10"/>
        <rFont val="Times New Roman"/>
        <family val="1"/>
      </rPr>
      <t>2</t>
    </r>
  </si>
  <si>
    <r>
      <t>Cl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</si>
  <si>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 :0-30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</si>
  <si>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b/>
        <vertAlign val="subscript"/>
        <sz val="8"/>
        <rFont val="Times New Roman"/>
        <family val="1"/>
      </rPr>
      <t>2</t>
    </r>
  </si>
  <si>
    <r>
      <t>NH</t>
    </r>
    <r>
      <rPr>
        <b/>
        <vertAlign val="subscript"/>
        <sz val="9"/>
        <rFont val="Times New Roman"/>
        <family val="1"/>
      </rPr>
      <t>3</t>
    </r>
  </si>
  <si>
    <r>
      <t>NO</t>
    </r>
    <r>
      <rPr>
        <b/>
        <vertAlign val="subscript"/>
        <sz val="9"/>
        <rFont val="Times New Roman"/>
        <family val="1"/>
      </rPr>
      <t>2</t>
    </r>
  </si>
  <si>
    <r>
      <t>ВНИМАНИЕ</t>
    </r>
    <r>
      <rPr>
        <b/>
        <sz val="10"/>
        <rFont val="Times New Roman"/>
        <family val="1"/>
      </rPr>
      <t xml:space="preserve">: Для определения содержания угарного газа </t>
    </r>
    <r>
      <rPr>
        <b/>
        <u val="single"/>
        <sz val="10"/>
        <rFont val="Times New Roman"/>
        <family val="1"/>
      </rPr>
      <t>на уровне ПДК РЗ</t>
    </r>
    <r>
      <rPr>
        <b/>
        <sz val="10"/>
        <rFont val="Times New Roman"/>
        <family val="1"/>
      </rPr>
      <t xml:space="preserve"> из вышеуказанных газоанализаторов </t>
    </r>
  </si>
  <si>
    <t xml:space="preserve">могут быть использованы только приборы "ОКА-…Т(…-СО)". </t>
  </si>
  <si>
    <r>
      <t xml:space="preserve">Другие приборы, регистрирующие угарный газ, предназначены для обнаружения </t>
    </r>
    <r>
      <rPr>
        <b/>
        <u val="single"/>
        <sz val="10"/>
        <rFont val="Times New Roman"/>
        <family val="1"/>
      </rPr>
      <t>взрывоопасного содержания</t>
    </r>
  </si>
  <si>
    <t>СО в воздухе.</t>
  </si>
  <si>
    <t xml:space="preserve">Переносные приборы с выносным датчиком    для контроля воздуха рабочей зоны опасных производств 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</si>
  <si>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HF</t>
    </r>
  </si>
  <si>
    <t>Газоанализатор горюч. газов Хоббит-Т-..., переносной, с термокаталитическим сенсором</t>
  </si>
  <si>
    <t>5 - 50 % НКПР</t>
  </si>
  <si>
    <t>Газоанализатор горюч. газов Хоббит-Т-..., переносной, с оптическим сенсором</t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</si>
  <si>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</si>
  <si>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2</t>
    </r>
  </si>
  <si>
    <t>1 - 30 об.%</t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</si>
  <si>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>, переносной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</si>
  <si>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</si>
  <si>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20 - 600 мг/м</t>
    </r>
    <r>
      <rPr>
        <vertAlign val="superscript"/>
        <sz val="9"/>
        <rFont val="Times New Roman"/>
        <family val="1"/>
      </rPr>
      <t>3</t>
    </r>
  </si>
  <si>
    <t>Газоанализатор токсич. газа                Хоббит-Т-..., переносной</t>
  </si>
  <si>
    <r>
      <t>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H</t>
    </r>
    <r>
      <rPr>
        <b/>
        <vertAlign val="subscript"/>
        <sz val="11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</si>
  <si>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</si>
  <si>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10"/>
        <rFont val="Arial Cyr"/>
        <family val="2"/>
      </rPr>
      <t>2</t>
    </r>
  </si>
  <si>
    <r>
      <t>CO: 20-100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</si>
  <si>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</si>
  <si>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3</t>
    </r>
  </si>
  <si>
    <r>
      <t>100 - 500 мкг/м</t>
    </r>
    <r>
      <rPr>
        <vertAlign val="superscript"/>
        <sz val="9"/>
        <rFont val="Times New Roman"/>
        <family val="1"/>
      </rPr>
      <t>3</t>
    </r>
  </si>
  <si>
    <r>
      <t>Газоанализатор углекисл.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</si>
  <si>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CO</t>
    </r>
    <r>
      <rPr>
        <b/>
        <vertAlign val="subscript"/>
        <sz val="11"/>
        <rFont val="Times New Roman"/>
        <family val="1"/>
      </rPr>
      <t>2</t>
    </r>
  </si>
  <si>
    <t>0,1 - 5 об.%</t>
  </si>
  <si>
    <r>
      <t>Газоанализатор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Хоббит-Т-HF, переносной</t>
    </r>
  </si>
  <si>
    <t>HF</t>
  </si>
  <si>
    <r>
      <t>HF: 0,5-3,0 мг/м</t>
    </r>
    <r>
      <rPr>
        <vertAlign val="superscript"/>
        <sz val="9"/>
        <rFont val="Times New Roman"/>
        <family val="1"/>
      </rPr>
      <t>3</t>
    </r>
  </si>
  <si>
    <t>Возможно изготовление многоканальных переносных газоанализаторов «Хоббит-Т».</t>
  </si>
  <si>
    <t>Нажать для расчета цены многоканальных переносных г/а "Хоббит-Т"</t>
  </si>
  <si>
    <t xml:space="preserve">Взрывозащищенные переносные приборы с выносным датчиком для контроля воздуха рабочей зоны опасных производств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</si>
  <si>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</t>
    </r>
    <r>
      <rPr>
        <b/>
        <vertAlign val="subscript"/>
        <sz val="12"/>
        <rFont val="Times New Roman"/>
        <family val="1"/>
      </rPr>
      <t xml:space="preserve">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HF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</si>
  <si>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  <r>
      <rPr>
        <sz val="10"/>
        <rFont val="Times New Roman"/>
        <family val="1"/>
      </rPr>
      <t xml:space="preserve"> </t>
    </r>
  </si>
  <si>
    <t xml:space="preserve">1 дополн. канал горюч. газа 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</si>
  <si>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CO как горючий</t>
    </r>
  </si>
  <si>
    <t xml:space="preserve">1 дополн. канал токсич. газа </t>
  </si>
  <si>
    <t>или 1 дополн. канал токсич. газа</t>
  </si>
  <si>
    <r>
      <t>CO, SO</t>
    </r>
    <r>
      <rPr>
        <b/>
        <vertAlign val="subscript"/>
        <sz val="10"/>
        <rFont val="Times New Roman"/>
        <family val="1"/>
      </rPr>
      <t>2</t>
    </r>
  </si>
  <si>
    <t>нажать для расчета цены взр/защ. модификаций переносных г/а "Хоббит-Т", записать цифру 1 в голубую ячейку и указать требуемый газ цифрой 1</t>
  </si>
  <si>
    <t>Газоанализатор горюч. газов Хоббит-Т-..., переносной</t>
  </si>
  <si>
    <t xml:space="preserve">дополн. канал токсич. газа </t>
  </si>
  <si>
    <r>
      <t>включая 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</si>
  <si>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r>
      <t>Газоанализатор токсич.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Хоббит-Т-..., переносной</t>
    </r>
  </si>
  <si>
    <r>
      <t>Индикатор озона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переносной</t>
    </r>
  </si>
  <si>
    <t>Стационарные приборы для котельных                         и др. объектов газового хозяйства</t>
  </si>
  <si>
    <t>CO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</si>
  <si>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CO как горючий</t>
    </r>
  </si>
  <si>
    <t>Газоанализаторы без индикации, ток.вых. 0-5 мА (4-20 мА), RS-232, с выносными датчиками</t>
  </si>
  <si>
    <t xml:space="preserve">Газоанализатор Хоббит-Т-CO                              </t>
  </si>
  <si>
    <r>
      <t>20 - 120 мг/м</t>
    </r>
    <r>
      <rPr>
        <vertAlign val="superscript"/>
        <sz val="9"/>
        <rFont val="Times New Roman"/>
        <family val="1"/>
      </rPr>
      <t>3</t>
    </r>
  </si>
  <si>
    <t>дополнительный канал измерения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</si>
  <si>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</si>
  <si>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</si>
  <si>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Хоббит-Т-гор.газ.                              </t>
  </si>
  <si>
    <r>
      <t>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</si>
  <si>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Газоанализатор Хоббит-Т-CO-CH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</si>
  <si>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CO+CH</t>
    </r>
    <r>
      <rPr>
        <b/>
        <vertAlign val="subscript"/>
        <sz val="9"/>
        <rFont val="Times New Roman"/>
        <family val="1"/>
      </rPr>
      <t>4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</si>
  <si>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: 5-50 % </t>
    </r>
    <r>
      <rPr>
        <sz val="8"/>
        <rFont val="Times New Roman"/>
        <family val="1"/>
      </rPr>
      <t>НКПР</t>
    </r>
  </si>
  <si>
    <t>Газоанализаторы c индикацией, ток.вых. 0-5 мА (4-20 мА), RS-232, с выносными датчиками</t>
  </si>
  <si>
    <t xml:space="preserve">Блок коммутации БР-10             </t>
  </si>
  <si>
    <t>канал измерения при общем количестве 1 - 8</t>
  </si>
  <si>
    <t>1 - 8</t>
  </si>
  <si>
    <t>всего до 16</t>
  </si>
  <si>
    <t>канал измерения при общем количестве 9 - 16</t>
  </si>
  <si>
    <t>1 - 16</t>
  </si>
  <si>
    <t>нажать для расчета цены многоканального однокомпонентного г/а</t>
  </si>
  <si>
    <t>n = 1-16</t>
  </si>
  <si>
    <t>нажать для расчета цены многокомпонентного г/а</t>
  </si>
  <si>
    <r>
      <t>S</t>
    </r>
    <r>
      <rPr>
        <b/>
        <sz val="9"/>
        <rFont val="Times New Roman"/>
        <family val="1"/>
      </rPr>
      <t>n</t>
    </r>
    <r>
      <rPr>
        <b/>
        <vertAlign val="subscript"/>
        <sz val="9"/>
        <rFont val="Times New Roman"/>
        <family val="1"/>
      </rPr>
      <t>i</t>
    </r>
    <r>
      <rPr>
        <b/>
        <sz val="9"/>
        <rFont val="Times New Roman"/>
        <family val="1"/>
      </rPr>
      <t xml:space="preserve"> = 1-16</t>
    </r>
  </si>
  <si>
    <t>включая CO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</si>
  <si>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с термокаталитическим сенсором                           </t>
    </r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</si>
  <si>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с оптическим сенсором                           </t>
    </r>
  </si>
  <si>
    <t>дополнительный канал измерения с термокаталитическим сенсором</t>
  </si>
  <si>
    <r>
      <t xml:space="preserve">5 - 50 % </t>
    </r>
    <r>
      <rPr>
        <sz val="8"/>
        <rFont val="Times New Roman"/>
        <family val="1"/>
      </rPr>
      <t>НКПР</t>
    </r>
  </si>
  <si>
    <t>дополнительный канал измерения с оптитическим сенсором</t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</si>
  <si>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1-16</t>
    </r>
  </si>
  <si>
    <r>
      <t>включая 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</si>
  <si>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 с термокаталитическим сенсором                              </t>
  </si>
  <si>
    <t xml:space="preserve">Газоанализатор Хоббит-Т-гор.газ с оптическим сенсором                              </t>
  </si>
  <si>
    <t>дополнительный канал измерения с оптическим сенсором</t>
  </si>
  <si>
    <r>
      <t>включая один из: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</si>
  <si>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дополн. каналы CO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</si>
  <si>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=(3-8)</t>
    </r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</si>
  <si>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=(9-16)</t>
    </r>
  </si>
  <si>
    <r>
      <t>дополн. каналы CH</t>
    </r>
    <r>
      <rPr>
        <b/>
        <vertAlign val="subscript"/>
        <sz val="10"/>
        <rFont val="Times New Roman"/>
        <family val="1"/>
      </rPr>
      <t>4</t>
    </r>
  </si>
  <si>
    <t>нажать для расчета цены многоканального двухкомпонентного г/а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</si>
  <si>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=(2-16)</t>
    </r>
  </si>
  <si>
    <r>
      <t>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</si>
  <si>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2-16</t>
    </r>
  </si>
  <si>
    <r>
      <t>включая  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</si>
  <si>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Газоанал-р Хоббит-Т-CO-гор.газ   </t>
  </si>
  <si>
    <t>CO+гор.газ</t>
  </si>
  <si>
    <t>дополн. каналы гор. газов</t>
  </si>
  <si>
    <r>
      <t>n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CO, n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гор.газ (C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горючий)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</si>
  <si>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г.г.: 5-50 % </t>
    </r>
    <r>
      <rPr>
        <sz val="8"/>
        <rFont val="Times New Roman"/>
        <family val="1"/>
      </rPr>
      <t>НКПР</t>
    </r>
  </si>
  <si>
    <t xml:space="preserve">Расчёт кол-ва блоков коммутации: </t>
  </si>
  <si>
    <t>1. Считают кол-во необходимых для прибора реле по формуле  n = (кол-во каналов * кол-во порогов) + 2.</t>
  </si>
  <si>
    <t>2. Учитывая, что в блоке [БР-10] 10 реле, их подбирают в таком кол-ве, чтобы суммарное кол-во реле в них было ≥ n.</t>
  </si>
  <si>
    <r>
      <t>Стационарные приборы для контроля</t>
    </r>
    <r>
      <rPr>
        <b/>
        <sz val="12"/>
        <rFont val="Times New Roman"/>
        <family val="1"/>
      </rPr>
      <t xml:space="preserve"> воздуха рабочей зоны опасных производств </t>
    </r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</si>
  <si>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              F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HF, HCl, NO</t>
    </r>
    <r>
      <rPr>
        <b/>
        <vertAlign val="subscript"/>
        <sz val="12"/>
        <rFont val="Times New Roman"/>
        <family val="1"/>
      </rPr>
      <t>2</t>
    </r>
  </si>
  <si>
    <r>
      <t>Газоанализатор хлора          Хоббит-Т-Cl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</si>
  <si>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Cl</t>
    </r>
    <r>
      <rPr>
        <b/>
        <vertAlign val="subscript"/>
        <sz val="9"/>
        <rFont val="Times New Roman"/>
        <family val="1"/>
      </rPr>
      <t>2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</si>
  <si>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</si>
  <si>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Газоанализатор сероводорода Хоббит-Т-H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S   </t>
    </r>
  </si>
  <si>
    <r>
      <t>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</si>
  <si>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</si>
  <si>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Газоанализатор сернистого газа Хоббит-Т-SO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</si>
  <si>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SO</t>
    </r>
    <r>
      <rPr>
        <b/>
        <vertAlign val="subscript"/>
        <sz val="9"/>
        <rFont val="Times New Roman"/>
        <family val="1"/>
      </rPr>
      <t>2</t>
    </r>
  </si>
  <si>
    <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</si>
  <si>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</si>
  <si>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20-600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</si>
  <si>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озона           Хоббит-Т-O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</si>
  <si>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3</t>
    </r>
  </si>
  <si>
    <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:100-500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</si>
  <si>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1 - 25 мг/м</t>
    </r>
    <r>
      <rPr>
        <vertAlign val="superscript"/>
        <sz val="9"/>
        <rFont val="Times New Roman"/>
        <family val="1"/>
      </rPr>
      <t>3</t>
    </r>
  </si>
  <si>
    <r>
      <t>включая Cl</t>
    </r>
    <r>
      <rPr>
        <b/>
        <vertAlign val="subscript"/>
        <sz val="9"/>
        <rFont val="Times New Roman"/>
        <family val="1"/>
      </rPr>
      <t>2</t>
    </r>
  </si>
  <si>
    <r>
      <t>5 - 30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</si>
  <si>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S</t>
    </r>
    <r>
      <rPr>
        <b/>
        <sz val="10"/>
        <rFont val="Times New Roman"/>
        <family val="1"/>
      </rPr>
      <t>n = 1-16</t>
    </r>
  </si>
  <si>
    <r>
      <t>включая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</si>
  <si>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10 - 100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</si>
  <si>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SO</t>
    </r>
    <r>
      <rPr>
        <b/>
        <vertAlign val="subscript"/>
        <sz val="9"/>
        <rFont val="Times New Roman"/>
        <family val="1"/>
      </rPr>
      <t>2</t>
    </r>
  </si>
  <si>
    <r>
      <t>100 - 500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</si>
  <si>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O</t>
    </r>
    <r>
      <rPr>
        <b/>
        <vertAlign val="subscript"/>
        <sz val="9"/>
        <rFont val="Times New Roman"/>
        <family val="1"/>
      </rPr>
      <t>3</t>
    </r>
  </si>
  <si>
    <r>
      <t>Газоанализатор кислорода   Хоббит-Т-O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</si>
  <si>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2</t>
    </r>
  </si>
  <si>
    <t xml:space="preserve">1 - 30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</si>
  <si>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хлористого водорода ОКА-Т-HCl</t>
    </r>
  </si>
  <si>
    <r>
      <t>0 - 20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</si>
  <si>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углекислого газа Хоббит-Т-CO</t>
    </r>
    <r>
      <rPr>
        <b/>
        <vertAlign val="subscript"/>
        <sz val="9"/>
        <rFont val="Times New Roman"/>
        <family val="1"/>
      </rPr>
      <t>2</t>
    </r>
  </si>
  <si>
    <t xml:space="preserve">0,1 - 5 об.%   </t>
  </si>
  <si>
    <t>до 5 об.%</t>
  </si>
  <si>
    <r>
      <t>Газоанализатор углекислого газа ОКА-Т-CO</t>
    </r>
    <r>
      <rPr>
        <b/>
        <vertAlign val="subscript"/>
        <sz val="9"/>
        <rFont val="Times New Roman"/>
        <family val="1"/>
      </rPr>
      <t>2</t>
    </r>
  </si>
  <si>
    <t xml:space="preserve">0 - 5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</si>
  <si>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двуокиси азота ОКА-Т-NO</t>
    </r>
    <r>
      <rPr>
        <b/>
        <vertAlign val="subscript"/>
        <sz val="9"/>
        <rFont val="Times New Roman"/>
        <family val="1"/>
      </rPr>
      <t>2</t>
    </r>
  </si>
  <si>
    <t>расчет цены многоканальн. многокомпонентного г/а</t>
  </si>
  <si>
    <t>Газоанализатор ОКА-Т-HF</t>
  </si>
  <si>
    <r>
      <t>0,0 - 3,0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</si>
  <si>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HF</t>
  </si>
  <si>
    <t>Газоанализатор Хоббит-Т-HF</t>
  </si>
  <si>
    <r>
      <t>0,5 - 3,0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</si>
  <si>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Взрывозащищенные стационарные газоанализаторы (1ExibIIBT6)</t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</si>
  <si>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                       HF,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</si>
  <si>
    <t>Блок питания,                             один на каждые 8 каналов</t>
  </si>
  <si>
    <t>Барьер, на каждый канал</t>
  </si>
  <si>
    <t>нажать для расчета цены взр/защ. г/а "Хоббит-Т" с индикацией и выносным датчиком, записать цифру 1 в голубую ячейку и указать требуемые газы числом каналов</t>
  </si>
  <si>
    <t>Системы контроля отходящих газов</t>
  </si>
  <si>
    <r>
      <t>CO, O</t>
    </r>
    <r>
      <rPr>
        <b/>
        <vertAlign val="subscript"/>
        <sz val="12"/>
        <rFont val="Times New Roman"/>
        <family val="1"/>
      </rPr>
      <t>2,</t>
    </r>
    <r>
      <rPr>
        <b/>
        <sz val="12"/>
        <rFont val="Times New Roman"/>
        <family val="1"/>
      </rPr>
      <t xml:space="preserve">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NO</t>
    </r>
  </si>
  <si>
    <t>3 - 10</t>
  </si>
  <si>
    <t>&gt;10</t>
  </si>
  <si>
    <r>
      <t>Ангор-С (O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</si>
  <si>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</si>
  <si>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</si>
  <si>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</si>
  <si>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</si>
  <si>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</si>
  <si>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</t>
    </r>
  </si>
  <si>
    <t>Приборы для лабораторий</t>
  </si>
  <si>
    <t>Анализатор остаточного активного хлора в воде ВАКХ-2000</t>
  </si>
  <si>
    <t>Анализатор остаточного активного хлора в воде ВАКХ-2000С, стационарный, проточный, автоматический</t>
  </si>
  <si>
    <t>Анализатор элементного состава "ТОПАЗ-C" с управляющим компьютером</t>
  </si>
  <si>
    <t>Анализатор элементного состава "ТОПАЗ-N" с управляющим компьютером</t>
  </si>
  <si>
    <t>Анализатор элементного состава "ТОПАЗ-NC" с управляющим компьютером</t>
  </si>
  <si>
    <t>Средства поверки</t>
  </si>
  <si>
    <t>Генератор ПГСМ "ИНФАН ГР-_" k=450</t>
  </si>
  <si>
    <r>
      <t>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</si>
  <si>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ГР-_" k=50</t>
  </si>
  <si>
    <r>
      <t>4 - 20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</si>
  <si>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ЭХГР-Cl2"</t>
  </si>
  <si>
    <t>хлор</t>
  </si>
  <si>
    <r>
      <t>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</si>
  <si>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ЭХГР-HCN"</t>
  </si>
  <si>
    <t>HCN</t>
  </si>
  <si>
    <r>
      <t>0.2 - 3.0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</si>
  <si>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ЭХГР-HF"</t>
  </si>
  <si>
    <r>
      <t>0.4 - 5.0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</si>
  <si>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ЭХГР-SO2"</t>
  </si>
  <si>
    <t>SO2</t>
  </si>
  <si>
    <r>
      <t>8 - 100 мг/м</t>
    </r>
    <r>
      <rPr>
        <b/>
        <vertAlign val="superscript"/>
        <sz val="10"/>
        <rFont val="Times New Roman"/>
        <family val="1"/>
      </rPr>
      <t>3</t>
    </r>
  </si>
  <si>
    <t>ГР05М</t>
  </si>
  <si>
    <t>Сенсоры</t>
  </si>
  <si>
    <t>Цены, руб. за 1 шт. (без НДС и доставки)</t>
  </si>
  <si>
    <t>Аммиак</t>
  </si>
  <si>
    <t>Диоксид азота</t>
  </si>
  <si>
    <t>Диоксид серы</t>
  </si>
  <si>
    <t>Кислород</t>
  </si>
  <si>
    <t>Метан и др. горючие газы</t>
  </si>
  <si>
    <t>Сероводород</t>
  </si>
  <si>
    <t>Угарный газ</t>
  </si>
  <si>
    <t>Фтор</t>
  </si>
  <si>
    <t>Фтористый водород</t>
  </si>
  <si>
    <t>Хлор</t>
  </si>
  <si>
    <t>Хлористый водород</t>
  </si>
  <si>
    <t>Ячейка генератора ГХ-120</t>
  </si>
  <si>
    <t>Примечание: в первом столбце приведены цены сенсоров, используемых как ЗИП</t>
  </si>
  <si>
    <t>к вышеперечисленным газоанализаторам, во втором - с адаптацией конструкции по ТЗ заказчика</t>
  </si>
  <si>
    <t>ЗИП: блоки датчиков</t>
  </si>
  <si>
    <t>цена серийных блоков датчиков</t>
  </si>
  <si>
    <t>цена блоков датчиков, выпущ. до 2006 г.</t>
  </si>
  <si>
    <t>Датчик для г/а "Хоббит-Т", "ОКА"</t>
  </si>
  <si>
    <t>CH4</t>
  </si>
  <si>
    <t>по запросу</t>
  </si>
  <si>
    <t>C3H8</t>
  </si>
  <si>
    <t>C6H14</t>
  </si>
  <si>
    <r>
      <t>H</t>
    </r>
    <r>
      <rPr>
        <b/>
        <vertAlign val="subscript"/>
        <sz val="9"/>
        <rFont val="Times New Roman"/>
        <family val="1"/>
      </rPr>
      <t>2</t>
    </r>
  </si>
  <si>
    <t>Датчик для г/а "ОКА"</t>
  </si>
  <si>
    <t>Комплектующие и ЗИП</t>
  </si>
  <si>
    <t>Блок питания БП-35-24 (24В, 35Вт)</t>
  </si>
  <si>
    <t>Преобразователь интерфейса (протокола) Xobbit &gt; ModBus RTU</t>
  </si>
  <si>
    <t>Блок коммутации БР10М</t>
  </si>
  <si>
    <t>Монтажная коробка МКТ</t>
  </si>
  <si>
    <t>Монтажная коробка МКУ</t>
  </si>
  <si>
    <t>Тестовый кабель для стационарного г/а «ОКА» и «Хоббит-Т»</t>
  </si>
  <si>
    <t>Кабель удлинительный для стационарного г/а «ОКА» и «Хоббит-Т»</t>
  </si>
  <si>
    <t>Кабель удлинительный для стационарного г/а «Хоббит-Т» блоками сенсоров ТВ</t>
  </si>
  <si>
    <t>Зарядное устройство БПУ-6 (PC4)</t>
  </si>
  <si>
    <t>Аккумуляторная батарея 9В (для г/а до 2006 г.в.)</t>
  </si>
  <si>
    <t>Аккумуляторная батарея 3,6В (для г/а до 2006 г.в.)</t>
  </si>
  <si>
    <t>В цены на позиции, имеющие номер в Госреестре, включена стоимость государственной поверки.</t>
  </si>
  <si>
    <t>Сроки изготовления:</t>
  </si>
  <si>
    <t xml:space="preserve">от одной недели (газоанализаторы "ОКА-92", "ОКА-92М") </t>
  </si>
  <si>
    <t>до восьми недель (многоканальные газоанализаторы во взрывозащищенном исполнении)</t>
  </si>
  <si>
    <t xml:space="preserve">Сроки доставки "Спецсвязью" ~ 7 - 14 дней </t>
  </si>
  <si>
    <t>Наши реквизиты</t>
  </si>
  <si>
    <t xml:space="preserve">Фактический адрес: г.Санкт-Петербург, ул. Курчатова, д.10. </t>
  </si>
  <si>
    <t>Почтовый адрес: 194223, г.Санкт-Петербург, а/я 4.</t>
  </si>
  <si>
    <t xml:space="preserve">тел./факс (812) 336-42-06, 552-98-31, 552-29-42, 591-67-05. </t>
  </si>
  <si>
    <t>E-mail: mail@infogas.ru</t>
  </si>
  <si>
    <t>http://www.infogas.ru</t>
  </si>
  <si>
    <t>Цены моноблоков ОКА (без НДС), количество порогов - по умолчанию</t>
  </si>
  <si>
    <t>тип г/а</t>
  </si>
  <si>
    <t>газ</t>
  </si>
  <si>
    <t>кол-во каналов</t>
  </si>
  <si>
    <t>1 - 2 шт.</t>
  </si>
  <si>
    <t>3 - 4 шт.</t>
  </si>
  <si>
    <t>5 шт. и более</t>
  </si>
  <si>
    <t>кол-во порогов</t>
  </si>
  <si>
    <t>ОКА-Т-</t>
  </si>
  <si>
    <t>ОКА-М-</t>
  </si>
  <si>
    <r>
      <t>CH</t>
    </r>
    <r>
      <rPr>
        <vertAlign val="subscript"/>
        <sz val="11"/>
        <rFont val="Times New Roman"/>
        <family val="1"/>
      </rPr>
      <t>4</t>
    </r>
  </si>
  <si>
    <r>
      <t>C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8</t>
    </r>
  </si>
  <si>
    <r>
      <t>C</t>
    </r>
    <r>
      <rPr>
        <vertAlign val="subscript"/>
        <sz val="11"/>
        <rFont val="Times New Roman"/>
        <family val="1"/>
      </rPr>
      <t>6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14</t>
    </r>
  </si>
  <si>
    <r>
      <t>H</t>
    </r>
    <r>
      <rPr>
        <vertAlign val="subscript"/>
        <sz val="11"/>
        <rFont val="Times New Roman"/>
        <family val="1"/>
      </rPr>
      <t>2</t>
    </r>
  </si>
  <si>
    <r>
      <t xml:space="preserve">CO </t>
    </r>
    <r>
      <rPr>
        <sz val="11"/>
        <color indexed="55"/>
        <rFont val="Times New Roman"/>
        <family val="1"/>
      </rPr>
      <t>как горючий</t>
    </r>
  </si>
  <si>
    <r>
      <t>CH</t>
    </r>
    <r>
      <rPr>
        <vertAlign val="subscript"/>
        <sz val="11"/>
        <rFont val="Times New Roman"/>
        <family val="1"/>
      </rPr>
      <t>opt</t>
    </r>
  </si>
  <si>
    <r>
      <t>Cl</t>
    </r>
    <r>
      <rPr>
        <vertAlign val="subscript"/>
        <sz val="11"/>
        <rFont val="Times New Roman"/>
        <family val="1"/>
      </rPr>
      <t>2</t>
    </r>
  </si>
  <si>
    <r>
      <t>NH</t>
    </r>
    <r>
      <rPr>
        <vertAlign val="subscript"/>
        <sz val="11"/>
        <rFont val="Times New Roman"/>
        <family val="1"/>
      </rPr>
      <t>3</t>
    </r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</si>
  <si>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S</t>
    </r>
  </si>
  <si>
    <r>
      <t>SO</t>
    </r>
    <r>
      <rPr>
        <vertAlign val="subscript"/>
        <sz val="11"/>
        <rFont val="Times New Roman"/>
        <family val="1"/>
      </rPr>
      <t>2</t>
    </r>
  </si>
  <si>
    <r>
      <t>CO</t>
    </r>
    <r>
      <rPr>
        <vertAlign val="subscript"/>
        <sz val="11"/>
        <rFont val="Times New Roman"/>
        <family val="1"/>
      </rPr>
      <t>2</t>
    </r>
  </si>
  <si>
    <t>Хоббит -</t>
  </si>
  <si>
    <r>
      <t>F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</si>
  <si>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11"/>
        <rFont val="Times New Roman"/>
        <family val="1"/>
      </rPr>
      <t>2</t>
    </r>
  </si>
  <si>
    <t>ОКА-92-</t>
  </si>
  <si>
    <r>
      <t>O</t>
    </r>
    <r>
      <rPr>
        <vertAlign val="subscript"/>
        <sz val="11"/>
        <rFont val="Times New Roman"/>
        <family val="1"/>
      </rPr>
      <t>2</t>
    </r>
  </si>
  <si>
    <t>Блок коммутации БКУ</t>
  </si>
  <si>
    <t>Блок коммутации БР10</t>
  </si>
  <si>
    <t xml:space="preserve"> </t>
  </si>
  <si>
    <t>Цены приборов (без НДС) без индикации, количество порогов - по умолчанию</t>
  </si>
  <si>
    <t>Хоббит-Т-</t>
  </si>
  <si>
    <r>
      <t>CO+CH</t>
    </r>
    <r>
      <rPr>
        <vertAlign val="subscript"/>
        <sz val="11"/>
        <rFont val="Times New Roman"/>
        <family val="1"/>
      </rPr>
      <t>4</t>
    </r>
  </si>
  <si>
    <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>, проставив числа каналов против формул газов, подлежащих контролю</t>
    </r>
  </si>
  <si>
    <r>
      <t xml:space="preserve">Обратите внимание, что всего должно быть </t>
    </r>
    <r>
      <rPr>
        <b/>
        <sz val="10"/>
        <rFont val="Arial Cyr"/>
        <family val="2"/>
      </rPr>
      <t>не более 16 каналов</t>
    </r>
    <r>
      <rPr>
        <sz val="10"/>
        <rFont val="Arial Cyr"/>
        <family val="2"/>
      </rPr>
      <t xml:space="preserve">, в канале Хоббит-Т должно быть </t>
    </r>
    <r>
      <rPr>
        <b/>
        <sz val="10"/>
        <rFont val="Arial Cyr"/>
        <family val="2"/>
      </rPr>
      <t>не более 3 порогов</t>
    </r>
  </si>
  <si>
    <r>
      <t xml:space="preserve">Если   количество   порогов   в  каналах  </t>
    </r>
    <r>
      <rPr>
        <b/>
        <u val="single"/>
        <sz val="10"/>
        <color indexed="12"/>
        <rFont val="Symbol"/>
        <family val="1"/>
      </rPr>
      <t>(¯)</t>
    </r>
    <r>
      <rPr>
        <b/>
        <u val="single"/>
        <sz val="10"/>
        <rFont val="Symbol"/>
        <family val="1"/>
      </rPr>
      <t xml:space="preserve">  </t>
    </r>
    <r>
      <rPr>
        <u val="single"/>
        <sz val="10"/>
        <rFont val="Arial Cyr"/>
        <family val="2"/>
      </rPr>
      <t xml:space="preserve">Хоббит-Т ……..…..………. Вы  не  укажете,  то выбранные каналы  будут иметь пороги  согласно  этому столбцу </t>
    </r>
    <r>
      <rPr>
        <b/>
        <u val="single"/>
        <sz val="10"/>
        <color indexed="12"/>
        <rFont val="Symbol"/>
        <family val="1"/>
      </rPr>
      <t xml:space="preserve"> ¯</t>
    </r>
  </si>
  <si>
    <t>НЕ ИЗМЕНЯТЬ ПОЛЯ В СТОЛБЦАХ НИЖЕ ЭТОГО ПРЕДУПРЕЖДЕНИЯ!</t>
  </si>
  <si>
    <t>Стационарные</t>
  </si>
  <si>
    <t>Хоббит-Т</t>
  </si>
  <si>
    <t>особое исполн.</t>
  </si>
  <si>
    <t>изменить конфиг.</t>
  </si>
  <si>
    <t>описание</t>
  </si>
  <si>
    <t>конфигурации:</t>
  </si>
  <si>
    <t>цена канала</t>
  </si>
  <si>
    <t>выбранные корпуса</t>
  </si>
  <si>
    <t>Выбр.газ</t>
  </si>
  <si>
    <t>матрица кросс-чувствительностей к заказу</t>
  </si>
  <si>
    <t>газы</t>
  </si>
  <si>
    <t>взрыво-защищ-х</t>
  </si>
  <si>
    <t xml:space="preserve">РЕЗУЛЬТАТЫ </t>
  </si>
  <si>
    <t>ВВОДА колич. каналов для Хоббит-Т</t>
  </si>
  <si>
    <t>уст. кол-во порогов</t>
  </si>
  <si>
    <t>выбр. газы</t>
  </si>
  <si>
    <t>выбранные каналы</t>
  </si>
  <si>
    <t>кол-во взрывозащ. каналов</t>
  </si>
  <si>
    <t>селект. к</t>
  </si>
  <si>
    <r>
      <t>O</t>
    </r>
    <r>
      <rPr>
        <b/>
        <vertAlign val="subscript"/>
        <sz val="10"/>
        <color indexed="43"/>
        <rFont val="Arial Cyr"/>
        <family val="2"/>
      </rPr>
      <t>2</t>
    </r>
  </si>
  <si>
    <r>
      <t>¬</t>
    </r>
    <r>
      <rPr>
        <sz val="8"/>
        <rFont val="Arial Cyr"/>
        <family val="2"/>
      </rPr>
      <t xml:space="preserve"> введите необходимые данные</t>
    </r>
  </si>
  <si>
    <t>наименование:</t>
  </si>
  <si>
    <t>H2</t>
  </si>
  <si>
    <r>
      <t>H</t>
    </r>
    <r>
      <rPr>
        <b/>
        <vertAlign val="subscript"/>
        <sz val="10"/>
        <color indexed="43"/>
        <rFont val="Arial Cyr"/>
        <family val="2"/>
      </rPr>
      <t>2</t>
    </r>
  </si>
  <si>
    <t>"1"</t>
  </si>
  <si>
    <t>CO как горючий</t>
  </si>
  <si>
    <r>
      <t>¬</t>
    </r>
    <r>
      <rPr>
        <sz val="8"/>
        <rFont val="Arial Cyr"/>
        <family val="2"/>
      </rPr>
      <t xml:space="preserve"> введите</t>
    </r>
  </si>
  <si>
    <t>необходимые данные</t>
  </si>
  <si>
    <t>взрывозащита:</t>
  </si>
  <si>
    <r>
      <t>CH</t>
    </r>
    <r>
      <rPr>
        <b/>
        <vertAlign val="subscript"/>
        <sz val="10"/>
        <color indexed="43"/>
        <rFont val="Arial Cyr"/>
        <family val="2"/>
      </rPr>
      <t>4</t>
    </r>
  </si>
  <si>
    <t>кол. блоков реле БР10:</t>
  </si>
  <si>
    <r>
      <t>C</t>
    </r>
    <r>
      <rPr>
        <b/>
        <vertAlign val="subscript"/>
        <sz val="10"/>
        <color indexed="43"/>
        <rFont val="Arial Cyr"/>
        <family val="2"/>
      </rPr>
      <t>3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8</t>
    </r>
  </si>
  <si>
    <t>цена блоков реле, без НДС</t>
  </si>
  <si>
    <r>
      <t>C</t>
    </r>
    <r>
      <rPr>
        <b/>
        <vertAlign val="subscript"/>
        <sz val="10"/>
        <color indexed="43"/>
        <rFont val="Arial Cyr"/>
        <family val="2"/>
      </rPr>
      <t>6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14</t>
    </r>
  </si>
  <si>
    <t>цена без блоков реле, без НДС</t>
  </si>
  <si>
    <t>Цена с блоками коммутации без НДС:</t>
  </si>
  <si>
    <r>
      <t>H</t>
    </r>
    <r>
      <rPr>
        <b/>
        <vertAlign val="subscript"/>
        <sz val="10"/>
        <color indexed="43"/>
        <rFont val="Arial Cyr"/>
        <family val="2"/>
      </rPr>
      <t>2</t>
    </r>
    <r>
      <rPr>
        <b/>
        <sz val="10"/>
        <color indexed="43"/>
        <rFont val="Arial Cyr"/>
        <family val="2"/>
      </rPr>
      <t>S</t>
    </r>
  </si>
  <si>
    <t>НДС 18%</t>
  </si>
  <si>
    <r>
      <t>SO</t>
    </r>
    <r>
      <rPr>
        <b/>
        <vertAlign val="subscript"/>
        <sz val="10"/>
        <color indexed="43"/>
        <rFont val="Arial Cyr"/>
        <family val="2"/>
      </rPr>
      <t>2</t>
    </r>
  </si>
  <si>
    <t>Всего с НДС:</t>
  </si>
  <si>
    <r>
      <t>Cl</t>
    </r>
    <r>
      <rPr>
        <b/>
        <vertAlign val="subscript"/>
        <sz val="10"/>
        <color indexed="43"/>
        <rFont val="Arial Cyr"/>
        <family val="2"/>
      </rPr>
      <t>2</t>
    </r>
  </si>
  <si>
    <r>
      <t>NH</t>
    </r>
    <r>
      <rPr>
        <b/>
        <vertAlign val="subscript"/>
        <sz val="10"/>
        <color indexed="43"/>
        <rFont val="Arial Cyr"/>
        <family val="2"/>
      </rPr>
      <t>3</t>
    </r>
  </si>
  <si>
    <t>Цены с НДС со скидками:</t>
  </si>
  <si>
    <r>
      <t>NO</t>
    </r>
    <r>
      <rPr>
        <b/>
        <vertAlign val="subscript"/>
        <sz val="10"/>
        <color indexed="43"/>
        <rFont val="Arial Cyr"/>
        <family val="2"/>
      </rPr>
      <t>2</t>
    </r>
  </si>
  <si>
    <t>см. ниже, г/а ОКА</t>
  </si>
  <si>
    <t>в партии 3 - 4 шт.:</t>
  </si>
  <si>
    <t>в партии 5 шт. и более:</t>
  </si>
  <si>
    <r>
      <t>O</t>
    </r>
    <r>
      <rPr>
        <b/>
        <vertAlign val="subscript"/>
        <sz val="10"/>
        <color indexed="9"/>
        <rFont val="Arial Cyr"/>
        <family val="2"/>
      </rPr>
      <t>3(инд.)</t>
    </r>
  </si>
  <si>
    <r>
      <t>¬</t>
    </r>
    <r>
      <rPr>
        <strike/>
        <sz val="8"/>
        <rFont val="Arial Cyr"/>
        <family val="2"/>
      </rPr>
      <t xml:space="preserve"> введите необходимые данные</t>
    </r>
  </si>
  <si>
    <r>
      <t>F</t>
    </r>
    <r>
      <rPr>
        <b/>
        <vertAlign val="subscript"/>
        <sz val="10"/>
        <color indexed="9"/>
        <rFont val="Arial Cyr"/>
        <family val="2"/>
      </rPr>
      <t>2(инд.)</t>
    </r>
  </si>
  <si>
    <t xml:space="preserve">Цена с НДС со скидкой </t>
  </si>
  <si>
    <t>(не более 20%) по дилерскому договору:</t>
  </si>
  <si>
    <r>
      <t xml:space="preserve">Укажите инд. скидку                     (не более 20%) </t>
    </r>
    <r>
      <rPr>
        <b/>
        <sz val="8"/>
        <rFont val="Symbol"/>
        <family val="1"/>
      </rPr>
      <t>®</t>
    </r>
  </si>
  <si>
    <r>
      <t>CO</t>
    </r>
    <r>
      <rPr>
        <b/>
        <vertAlign val="subscript"/>
        <sz val="10"/>
        <color indexed="43"/>
        <rFont val="Arial Cyr"/>
        <family val="2"/>
      </rPr>
      <t>2</t>
    </r>
  </si>
  <si>
    <t>Ваша цена без НДС со скидкой:</t>
  </si>
  <si>
    <r>
      <t xml:space="preserve">если нужна </t>
    </r>
    <r>
      <rPr>
        <sz val="8"/>
        <rFont val="Arial Cyr"/>
        <family val="2"/>
      </rPr>
      <t>взрывозащита</t>
    </r>
    <r>
      <rPr>
        <sz val="8"/>
        <color indexed="14"/>
        <rFont val="Arial Cyr"/>
        <family val="2"/>
      </rPr>
      <t xml:space="preserve"> </t>
    </r>
    <r>
      <rPr>
        <b/>
        <sz val="8"/>
        <rFont val="Arial Cyr"/>
        <family val="2"/>
      </rPr>
      <t>ВСЕХ</t>
    </r>
    <r>
      <rPr>
        <sz val="8"/>
        <color indexed="14"/>
        <rFont val="Arial Cyr"/>
        <family val="2"/>
      </rPr>
      <t xml:space="preserve"> каналов, поставьте в розовую ячейку     цифру </t>
    </r>
    <r>
      <rPr>
        <b/>
        <sz val="10"/>
        <color indexed="14"/>
        <rFont val="Arial Cyr"/>
        <family val="2"/>
      </rPr>
      <t xml:space="preserve">1 </t>
    </r>
    <r>
      <rPr>
        <b/>
        <sz val="8"/>
        <color indexed="14"/>
        <rFont val="Symbol"/>
        <family val="1"/>
      </rPr>
      <t xml:space="preserve">® </t>
    </r>
  </si>
  <si>
    <t>количество измеряемых газов</t>
  </si>
  <si>
    <t>каналов горючих газов (термокат.)</t>
  </si>
  <si>
    <t>наценка на взрывозащиту (барьер на канал и БППН на 4 канала):</t>
  </si>
  <si>
    <r>
      <t xml:space="preserve">при соединении некоторых датчиков гирляндой поставьте в голубую ячейку     цифру </t>
    </r>
    <r>
      <rPr>
        <b/>
        <sz val="10"/>
        <color indexed="12"/>
        <rFont val="Arial Cyr"/>
        <family val="2"/>
      </rPr>
      <t xml:space="preserve">1 </t>
    </r>
    <r>
      <rPr>
        <b/>
        <sz val="8"/>
        <color indexed="12"/>
        <rFont val="Symbol"/>
        <family val="1"/>
      </rPr>
      <t xml:space="preserve">® </t>
    </r>
  </si>
  <si>
    <t>каналов токсичных газов</t>
  </si>
  <si>
    <r>
      <t xml:space="preserve">для исполнения датчиков, устойчивых к влаге и агрессивной среде (для КНС или мороз. камер) поставьте в желтую ячейку     цифру </t>
    </r>
    <r>
      <rPr>
        <b/>
        <sz val="10"/>
        <color indexed="25"/>
        <rFont val="Arial Cyr"/>
        <family val="2"/>
      </rPr>
      <t xml:space="preserve">1 </t>
    </r>
    <r>
      <rPr>
        <b/>
        <sz val="8"/>
        <color indexed="25"/>
        <rFont val="Symbol"/>
        <family val="1"/>
      </rPr>
      <t xml:space="preserve">® </t>
    </r>
  </si>
  <si>
    <t>всего каналов</t>
  </si>
  <si>
    <r>
      <t xml:space="preserve">Обратите внимание, что всего должно быть </t>
    </r>
    <r>
      <rPr>
        <b/>
        <u val="single"/>
        <sz val="10"/>
        <rFont val="Arial Cyr"/>
        <family val="2"/>
      </rPr>
      <t>не более 16 каналов</t>
    </r>
    <r>
      <rPr>
        <u val="single"/>
        <sz val="10"/>
        <rFont val="Arial Cyr"/>
        <family val="2"/>
      </rPr>
      <t xml:space="preserve">, в каналах ОКА </t>
    </r>
    <r>
      <rPr>
        <b/>
        <u val="single"/>
        <sz val="10"/>
        <rFont val="Arial Cyr"/>
        <family val="2"/>
      </rPr>
      <t>всегда 1 порог</t>
    </r>
    <r>
      <rPr>
        <u val="single"/>
        <sz val="10"/>
        <rFont val="Arial Cyr"/>
        <family val="2"/>
      </rPr>
      <t xml:space="preserve"> </t>
    </r>
  </si>
  <si>
    <t xml:space="preserve"> ОКА</t>
  </si>
  <si>
    <t>конфигурации</t>
  </si>
  <si>
    <t>ВВОДА колич. каналов для ОКА</t>
  </si>
  <si>
    <t>ОКА</t>
  </si>
  <si>
    <t xml:space="preserve">    Цены со скидками:</t>
  </si>
  <si>
    <r>
      <t>O</t>
    </r>
    <r>
      <rPr>
        <b/>
        <vertAlign val="subscript"/>
        <sz val="10"/>
        <rFont val="Arial Cyr"/>
        <family val="2"/>
      </rPr>
      <t>3(инд.)</t>
    </r>
  </si>
  <si>
    <t>см. выше, г/а Хоббит-Т</t>
  </si>
  <si>
    <r>
      <t>F</t>
    </r>
    <r>
      <rPr>
        <b/>
        <vertAlign val="subscript"/>
        <sz val="10"/>
        <rFont val="Arial Cyr"/>
        <family val="2"/>
      </rPr>
      <t>2(инд.)</t>
    </r>
  </si>
  <si>
    <t xml:space="preserve">Цена со скидкой </t>
  </si>
  <si>
    <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 xml:space="preserve">, проставив цифру </t>
    </r>
    <r>
      <rPr>
        <b/>
        <sz val="12"/>
        <color indexed="12"/>
        <rFont val="Arial Cyr"/>
        <family val="2"/>
      </rPr>
      <t>1</t>
    </r>
    <r>
      <rPr>
        <b/>
        <sz val="10"/>
        <rFont val="Arial Cyr"/>
        <family val="2"/>
      </rPr>
      <t xml:space="preserve"> против формул газов, подлежащих контролю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</si>
  <si>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 что каналы CH - неселективны </t>
    </r>
  </si>
  <si>
    <t>Выбранные каналы будут иметь по 1 порогу срабатывания</t>
  </si>
  <si>
    <t xml:space="preserve">   НЕ ИЗМЕНЯТЬ ПОЛЯ В СТОЛБЦАХ НИЖЕ ЭТОГО ПРЕДУПРЕЖДЕНИЯ!</t>
  </si>
  <si>
    <t>Переносные</t>
  </si>
  <si>
    <t>группы</t>
  </si>
  <si>
    <t>укажите каналы</t>
  </si>
  <si>
    <t>формулы газов (появятся сами)</t>
  </si>
  <si>
    <t>Цена без НДС:</t>
  </si>
  <si>
    <t>НДС 18%:</t>
  </si>
  <si>
    <t xml:space="preserve"> Цены с НДС со скидками:</t>
  </si>
  <si>
    <r>
      <t>O</t>
    </r>
    <r>
      <rPr>
        <b/>
        <strike/>
        <vertAlign val="subscript"/>
        <sz val="10"/>
        <rFont val="Arial Cyr"/>
        <family val="2"/>
      </rPr>
      <t>3</t>
    </r>
  </si>
  <si>
    <t>см. ниже, г/а Хоббит-Т</t>
  </si>
  <si>
    <r>
      <t>F</t>
    </r>
    <r>
      <rPr>
        <b/>
        <strike/>
        <vertAlign val="subscript"/>
        <sz val="10"/>
        <rFont val="Arial Cyr"/>
        <family val="2"/>
      </rPr>
      <t>2</t>
    </r>
  </si>
  <si>
    <t xml:space="preserve">если взрывозащита нужна, поставьте в </t>
  </si>
  <si>
    <r>
      <t xml:space="preserve">голубую ячейку    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</si>
  <si>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r>
      <t xml:space="preserve">голубую ячейку    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                  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</si>
  <si>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4 каналов</t>
    </r>
    <r>
      <rPr>
        <u val="single"/>
        <sz val="9"/>
        <rFont val="Arial Cyr"/>
        <family val="2"/>
      </rPr>
      <t xml:space="preserve">, из которых не более 2 каналов контроля токсичных газов и не более 1 канала контроля горючих газов </t>
    </r>
  </si>
  <si>
    <t>взрывозащищённые</t>
  </si>
  <si>
    <t>цены за 1 шт. без НДС</t>
  </si>
  <si>
    <t>питание -</t>
  </si>
  <si>
    <t xml:space="preserve"> время работы</t>
  </si>
  <si>
    <t>с батареей - 5500 ч работы</t>
  </si>
  <si>
    <t>с батареей - 2000 ч работы, с аккумулятором - 500 ч работы</t>
  </si>
  <si>
    <t>Ставка НДС:</t>
  </si>
  <si>
    <t>C3H8opt</t>
  </si>
  <si>
    <t>наценка</t>
  </si>
  <si>
    <t>колво порогов</t>
  </si>
  <si>
    <t xml:space="preserve">цена корпуса </t>
  </si>
  <si>
    <t>на канал</t>
  </si>
  <si>
    <t>ХоббитТ</t>
  </si>
  <si>
    <t>по умолчанию</t>
  </si>
  <si>
    <t>с инфл.1/мес</t>
  </si>
  <si>
    <t>CH4 токс.</t>
  </si>
  <si>
    <t>CH4opt</t>
  </si>
  <si>
    <t>Cl2</t>
  </si>
  <si>
    <t>CO гор.</t>
  </si>
  <si>
    <t>CO2</t>
  </si>
  <si>
    <t>F2</t>
  </si>
  <si>
    <t>F2(инд.)</t>
  </si>
  <si>
    <t>Цена</t>
  </si>
  <si>
    <t>(перечень газов)</t>
  </si>
  <si>
    <t>c 1/мес.</t>
  </si>
  <si>
    <t>H2S</t>
  </si>
  <si>
    <t>NH3</t>
  </si>
  <si>
    <t>NO2</t>
  </si>
  <si>
    <t>O2</t>
  </si>
  <si>
    <t>O3(инд.)</t>
  </si>
  <si>
    <t>Оптима</t>
  </si>
  <si>
    <r>
      <t>O</t>
    </r>
    <r>
      <rPr>
        <vertAlign val="subscript"/>
        <sz val="10"/>
        <color indexed="45"/>
        <rFont val="Times New Roman"/>
        <family val="1"/>
      </rPr>
      <t>2</t>
    </r>
  </si>
  <si>
    <r>
      <t>O</t>
    </r>
    <r>
      <rPr>
        <vertAlign val="subscript"/>
        <sz val="10"/>
        <color indexed="45"/>
        <rFont val="Times New Roman"/>
        <family val="1"/>
      </rPr>
      <t>2</t>
    </r>
    <r>
      <rPr>
        <sz val="10"/>
        <color indexed="45"/>
        <rFont val="Times New Roman"/>
        <family val="1"/>
      </rPr>
      <t>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</si>
  <si>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</si>
  <si>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</si>
  <si>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</si>
  <si>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NO, 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</si>
  <si>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NO</t>
    </r>
  </si>
  <si>
    <t>Шкаф пневматики</t>
  </si>
  <si>
    <t>CO+CH4</t>
  </si>
  <si>
    <t>Трансформатор 36В</t>
  </si>
  <si>
    <t>Компрессор</t>
  </si>
  <si>
    <t>индикатор удешевил на 5000</t>
  </si>
  <si>
    <t>O3</t>
  </si>
  <si>
    <t>Адаптер для поверки газоанализаторов ОКАМ, ОКА92М, ОКА92Т</t>
  </si>
  <si>
    <t>Аккумуляторная батарея 9В</t>
  </si>
  <si>
    <t>Зарядное устройство</t>
  </si>
  <si>
    <t>наценка на моноблок</t>
  </si>
  <si>
    <t>блок коммутации/управления</t>
  </si>
  <si>
    <t>цены без НДС, с учетом инфляции 1%/мес</t>
  </si>
  <si>
    <t>цена</t>
  </si>
  <si>
    <t>количество</t>
  </si>
  <si>
    <t>цена г/а</t>
  </si>
  <si>
    <t>ОКА-Т</t>
  </si>
  <si>
    <t>ОКА-М</t>
  </si>
  <si>
    <t xml:space="preserve"> канала</t>
  </si>
  <si>
    <t>корпуса</t>
  </si>
  <si>
    <t>порогов по умолчанию</t>
  </si>
  <si>
    <t>без индик.</t>
  </si>
  <si>
    <t>моноблок</t>
  </si>
  <si>
    <t>нет</t>
  </si>
  <si>
    <t>2+2</t>
  </si>
  <si>
    <t xml:space="preserve">при изменении базовой даты </t>
  </si>
  <si>
    <t>взять значения текущих цен сверху</t>
  </si>
  <si>
    <t>канала</t>
  </si>
  <si>
    <r>
      <t>C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8</t>
    </r>
  </si>
  <si>
    <r>
      <t>C</t>
    </r>
    <r>
      <rPr>
        <b/>
        <vertAlign val="subscript"/>
        <sz val="10"/>
        <color indexed="12"/>
        <rFont val="Arial Cyr"/>
        <family val="2"/>
      </rPr>
      <t>6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14</t>
    </r>
  </si>
  <si>
    <r>
      <t>CH</t>
    </r>
    <r>
      <rPr>
        <b/>
        <vertAlign val="subscript"/>
        <sz val="10"/>
        <color indexed="12"/>
        <rFont val="Arial Cyr"/>
        <family val="2"/>
      </rPr>
      <t>4</t>
    </r>
  </si>
  <si>
    <r>
      <t>Cl</t>
    </r>
    <r>
      <rPr>
        <b/>
        <vertAlign val="subscript"/>
        <sz val="10"/>
        <color indexed="12"/>
        <rFont val="Arial Cyr"/>
        <family val="2"/>
      </rPr>
      <t>2</t>
    </r>
  </si>
  <si>
    <r>
      <t>CO+CH</t>
    </r>
    <r>
      <rPr>
        <b/>
        <vertAlign val="subscript"/>
        <sz val="10"/>
        <color indexed="12"/>
        <rFont val="Arial Cyr"/>
        <family val="2"/>
      </rPr>
      <t>4</t>
    </r>
  </si>
  <si>
    <r>
      <t>CO</t>
    </r>
    <r>
      <rPr>
        <b/>
        <vertAlign val="subscript"/>
        <sz val="10"/>
        <color indexed="12"/>
        <rFont val="Arial Cyr"/>
        <family val="2"/>
      </rPr>
      <t>2</t>
    </r>
  </si>
  <si>
    <r>
      <t>F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</si>
  <si>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</si>
  <si>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S</t>
    </r>
  </si>
  <si>
    <r>
      <t>NH</t>
    </r>
    <r>
      <rPr>
        <b/>
        <vertAlign val="subscript"/>
        <sz val="10"/>
        <color indexed="12"/>
        <rFont val="Arial Cyr"/>
        <family val="2"/>
      </rPr>
      <t>3</t>
    </r>
  </si>
  <si>
    <r>
      <t>NO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</si>
  <si>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</si>
  <si>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3</t>
    </r>
  </si>
  <si>
    <r>
      <t>SO</t>
    </r>
    <r>
      <rPr>
        <b/>
        <vertAlign val="subscript"/>
        <sz val="10"/>
        <color indexed="12"/>
        <rFont val="Arial Cyr"/>
        <family val="2"/>
      </rPr>
      <t>2</t>
    </r>
  </si>
  <si>
    <t>БР-10, динрельс</t>
  </si>
  <si>
    <t>10 реле</t>
  </si>
  <si>
    <t>блок искрозащиты</t>
  </si>
  <si>
    <t>1 на канал</t>
  </si>
  <si>
    <t>блок БППН</t>
  </si>
  <si>
    <t>1 на 4 кан.</t>
  </si>
  <si>
    <t>d за месяц</t>
  </si>
  <si>
    <t>месячный коэффициент:</t>
  </si>
  <si>
    <t>нач.месяц и год</t>
  </si>
  <si>
    <t>кон.месяц и год</t>
  </si>
  <si>
    <t>годовой коэффициент:</t>
  </si>
  <si>
    <t>- для сенсоров, 10% в год</t>
  </si>
  <si>
    <t>цена корпуса</t>
  </si>
  <si>
    <t>цена прочего</t>
  </si>
  <si>
    <t>прочее</t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</si>
  <si>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</si>
  <si>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  <r>
      <rPr>
        <sz val="9"/>
        <rFont val="Times New Roman"/>
        <family val="1"/>
      </rPr>
      <t>, CO как горючий</t>
    </r>
  </si>
  <si>
    <r>
      <t>CH</t>
    </r>
    <r>
      <rPr>
        <vertAlign val="subscript"/>
        <sz val="6"/>
        <rFont val="Times New Roman"/>
        <family val="1"/>
      </rPr>
      <t>4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3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8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6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14</t>
    </r>
    <r>
      <rPr>
        <sz val="6"/>
        <rFont val="Times New Roman"/>
        <family val="1"/>
      </rPr>
      <t>, 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, CO как горючий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</si>
  <si>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,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</t>
    </r>
  </si>
  <si>
    <r>
      <t>Cl</t>
    </r>
    <r>
      <rPr>
        <strike/>
        <vertAlign val="subscript"/>
        <sz val="9"/>
        <rFont val="Times New Roman"/>
        <family val="1"/>
      </rPr>
      <t>2</t>
    </r>
    <r>
      <rPr>
        <strike/>
        <sz val="9"/>
        <rFont val="Times New Roman"/>
        <family val="1"/>
      </rPr>
      <t>, H</t>
    </r>
    <r>
      <rPr>
        <strike/>
        <vertAlign val="subscript"/>
        <sz val="11"/>
        <rFont val="Times New Roman"/>
        <family val="1"/>
      </rPr>
      <t>2</t>
    </r>
    <r>
      <rPr>
        <strike/>
        <sz val="9"/>
        <rFont val="Times New Roman"/>
        <family val="1"/>
      </rPr>
      <t>S</t>
    </r>
  </si>
  <si>
    <r>
      <t>CO, SO</t>
    </r>
    <r>
      <rPr>
        <vertAlign val="subscript"/>
        <sz val="11"/>
        <rFont val="Times New Roman"/>
        <family val="1"/>
      </rPr>
      <t>2</t>
    </r>
  </si>
  <si>
    <r>
      <t>CO,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S, SO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Cl</t>
    </r>
    <r>
      <rPr>
        <vertAlign val="subscript"/>
        <sz val="8"/>
        <rFont val="Times New Roman"/>
        <family val="1"/>
      </rPr>
      <t>2</t>
    </r>
  </si>
  <si>
    <r>
      <t>H</t>
    </r>
    <r>
      <rPr>
        <vertAlign val="subscript"/>
        <sz val="9"/>
        <rFont val="Times New Roman"/>
        <family val="1"/>
      </rPr>
      <t>2</t>
    </r>
  </si>
  <si>
    <r>
      <t>F</t>
    </r>
    <r>
      <rPr>
        <vertAlign val="subscript"/>
        <sz val="9"/>
        <rFont val="Times New Roman"/>
        <family val="1"/>
      </rPr>
      <t>2</t>
    </r>
  </si>
  <si>
    <t>--</t>
  </si>
  <si>
    <r>
      <t>O</t>
    </r>
    <r>
      <rPr>
        <strike/>
        <vertAlign val="subscript"/>
        <sz val="9"/>
        <rFont val="Times New Roman"/>
        <family val="1"/>
      </rPr>
      <t>3</t>
    </r>
  </si>
  <si>
    <t>1 канал</t>
  </si>
  <si>
    <t>2 канала</t>
  </si>
  <si>
    <t>3 канала</t>
  </si>
  <si>
    <t>4 канала</t>
  </si>
  <si>
    <t>CHir</t>
  </si>
  <si>
    <t>Примечания.</t>
  </si>
  <si>
    <t>25.08.08 изменена стоимость канала HCl на 1000 руб.</t>
  </si>
  <si>
    <t>27.06.07 изменена стоимость канала HCl на 905 руб.</t>
  </si>
  <si>
    <t>14.02.13 изменена наценка на взрывозащиту: 2000+1000*n</t>
  </si>
  <si>
    <t>с 1 окт 13 по 30 апр 14 на 30% уменьш цена на опт метан</t>
  </si>
  <si>
    <t>взрывозащита,</t>
  </si>
  <si>
    <t>число каналов:</t>
  </si>
  <si>
    <t>зонд 0.5, 0.75, 1.0 м</t>
  </si>
  <si>
    <t>плюс 5% 20 дек 2014 г.</t>
  </si>
  <si>
    <t>O2, CO</t>
  </si>
  <si>
    <t>O2, CO, NO</t>
  </si>
  <si>
    <t>O2, NO</t>
  </si>
  <si>
    <t>Ангор-С</t>
  </si>
  <si>
    <r>
      <t>O</t>
    </r>
    <r>
      <rPr>
        <b/>
        <vertAlign val="subscript"/>
        <sz val="10"/>
        <color indexed="9"/>
        <rFont val="Arial Cyr"/>
        <family val="2"/>
      </rPr>
      <t>3</t>
    </r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</si>
  <si>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</si>
  <si>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r>
      <t>CH</t>
    </r>
    <r>
      <rPr>
        <b/>
        <vertAlign val="subscript"/>
        <sz val="10"/>
        <color indexed="43"/>
        <rFont val="Arial Cyr"/>
        <family val="2"/>
      </rPr>
      <t>4</t>
    </r>
    <r>
      <rPr>
        <b/>
        <sz val="10"/>
        <color indexed="43"/>
        <rFont val="Arial Cyr"/>
        <family val="0"/>
      </rPr>
      <t xml:space="preserve"> с зондом</t>
    </r>
  </si>
  <si>
    <t>CH4 с зондом</t>
  </si>
  <si>
    <t>ОКА моноблок</t>
  </si>
  <si>
    <t>26.01.2015 снизили на 6900</t>
  </si>
  <si>
    <t>29.01.2015 понизили стоимости каналов э/х на 1000 р, чтобы ниже взрывозащиты сделать</t>
  </si>
  <si>
    <t>08.05.2015 повысили на 2800 метановые каналы без зонда, на 4100 метановые каналы с зондом и на 3510 корпус к зонду, на 330 корпус к метану без зонда</t>
  </si>
  <si>
    <t>Генератор ПГСМ "ИНФАН ГР-_" k=2500</t>
  </si>
  <si>
    <t>ЗИП к анализаторам "Топаз"</t>
  </si>
  <si>
    <t>Осушитель с силикагелем</t>
  </si>
  <si>
    <t>Реактор химический</t>
  </si>
  <si>
    <t>Реактор термокаталитический</t>
  </si>
  <si>
    <t>Катализатор для термореактора</t>
  </si>
  <si>
    <r>
      <t>CO</t>
    </r>
    <r>
      <rPr>
        <b/>
        <vertAlign val="subscript"/>
        <sz val="10"/>
        <color indexed="62"/>
        <rFont val="Arial Cyr"/>
        <family val="2"/>
      </rPr>
      <t>2</t>
    </r>
  </si>
  <si>
    <t>Анализатор остаточного активного хлора в воде ВАКХ-2000С, стационарный, лабораторный, полуавтоматический</t>
  </si>
  <si>
    <t>возможны скидки, звоните (812) 552-98-31, 336-42-06</t>
  </si>
  <si>
    <t>Столбец1</t>
  </si>
  <si>
    <t>Зарядное устройство БПУ-7   (DB-9)</t>
  </si>
  <si>
    <r>
      <t>Адаптер для  поверки г/а «ОКА» и «Хоббит-Т» на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</t>
    </r>
  </si>
  <si>
    <r>
      <t>Адаптер для  поверки г/а «ОКА» и «Хоббит-Т» (кроме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HF)</t>
    </r>
  </si>
  <si>
    <t>Микрошприц 100 мкл с прямым срезом иглы</t>
  </si>
  <si>
    <t>Цианистый водород</t>
  </si>
  <si>
    <t>60 руб/м + 100руб</t>
  </si>
  <si>
    <t>+25%</t>
  </si>
  <si>
    <t>изменена 16.02.2016</t>
  </si>
  <si>
    <t>изменена 16.02.2017</t>
  </si>
  <si>
    <t>изменена 16.02.2018</t>
  </si>
  <si>
    <t>изменена 16.02.2019</t>
  </si>
  <si>
    <t>изменена 16.02.2020</t>
  </si>
  <si>
    <t>изменена 16.02.2021</t>
  </si>
  <si>
    <t>цены без НДС, с возможностью учета инфляции 1/мес</t>
  </si>
  <si>
    <t>Уплотнитель силиконовый (септа)</t>
  </si>
  <si>
    <t>в т.ч. каналов</t>
  </si>
  <si>
    <t>Генератор ПГСМ "ИНФАН ФХГ-HCl ЭХГР-Cl2"</t>
  </si>
  <si>
    <t>HCl, хлор</t>
  </si>
  <si>
    <r>
      <t>4 - 20 мг/м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        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</si>
  <si>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ФХГ-HCl "</t>
  </si>
  <si>
    <t>+2%</t>
  </si>
  <si>
    <t>01.05.2016</t>
  </si>
  <si>
    <t>+200р в 2015</t>
  </si>
  <si>
    <t>Аккумуляторная сборка 2*2.4В для г/а модификаций «ОКА»</t>
  </si>
  <si>
    <t>см. выше ОКА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</si>
</sst>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mm/yy"/>
    <numFmt numFmtId="166" formatCode="mm/dd/yy"/>
    <numFmt numFmtId="167" formatCode="[$-FC19]d\ mmmm\ yyyy\ &quot;г.&quot;"/>
  </numFmts>
  <fonts count="12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vertAlign val="subscript"/>
      <sz val="12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2"/>
    </font>
    <font>
      <b/>
      <vertAlign val="subscript"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2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0"/>
      <name val="Arial Cyr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Arial Cyr"/>
      <family val="2"/>
    </font>
    <font>
      <vertAlign val="subscript"/>
      <sz val="11"/>
      <name val="Times New Roman"/>
      <family val="1"/>
    </font>
    <font>
      <sz val="11"/>
      <color indexed="55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u val="single"/>
      <sz val="10"/>
      <color indexed="12"/>
      <name val="Symbol"/>
      <family val="1"/>
    </font>
    <font>
      <b/>
      <u val="single"/>
      <sz val="10"/>
      <name val="Symbol"/>
      <family val="1"/>
    </font>
    <font>
      <b/>
      <sz val="12"/>
      <color indexed="10"/>
      <name val="Arial Cyr"/>
      <family val="2"/>
    </font>
    <font>
      <sz val="10"/>
      <color indexed="27"/>
      <name val="Arial Cyr"/>
      <family val="2"/>
    </font>
    <font>
      <b/>
      <sz val="10"/>
      <color indexed="27"/>
      <name val="Arial Cyr"/>
      <family val="2"/>
    </font>
    <font>
      <b/>
      <sz val="8"/>
      <color indexed="9"/>
      <name val="Arial Cyr"/>
      <family val="2"/>
    </font>
    <font>
      <b/>
      <sz val="10"/>
      <color indexed="10"/>
      <name val="Arial Cyr"/>
      <family val="2"/>
    </font>
    <font>
      <sz val="8"/>
      <color indexed="9"/>
      <name val="Arial Cyr"/>
      <family val="2"/>
    </font>
    <font>
      <b/>
      <sz val="9"/>
      <color indexed="25"/>
      <name val="Arial Cyr"/>
      <family val="2"/>
    </font>
    <font>
      <b/>
      <sz val="9"/>
      <color indexed="12"/>
      <name val="Arial Cyr"/>
      <family val="2"/>
    </font>
    <font>
      <sz val="9"/>
      <name val="Arial Cyr"/>
      <family val="2"/>
    </font>
    <font>
      <b/>
      <sz val="10"/>
      <color indexed="43"/>
      <name val="Arial Cyr"/>
      <family val="2"/>
    </font>
    <font>
      <b/>
      <vertAlign val="subscript"/>
      <sz val="10"/>
      <color indexed="43"/>
      <name val="Arial Cyr"/>
      <family val="2"/>
    </font>
    <font>
      <sz val="8"/>
      <name val="Symbol"/>
      <family val="1"/>
    </font>
    <font>
      <b/>
      <sz val="8"/>
      <name val="Arial Cyr"/>
      <family val="2"/>
    </font>
    <font>
      <sz val="10"/>
      <color indexed="12"/>
      <name val="Arial Cyr"/>
      <family val="2"/>
    </font>
    <font>
      <sz val="7"/>
      <name val="Arial Cyr"/>
      <family val="2"/>
    </font>
    <font>
      <b/>
      <sz val="14"/>
      <name val="Arial Cyr"/>
      <family val="2"/>
    </font>
    <font>
      <sz val="8"/>
      <name val="Arial"/>
      <family val="2"/>
    </font>
    <font>
      <b/>
      <sz val="10"/>
      <color indexed="9"/>
      <name val="Arial Cyr"/>
      <family val="2"/>
    </font>
    <font>
      <b/>
      <vertAlign val="subscript"/>
      <sz val="10"/>
      <color indexed="9"/>
      <name val="Arial Cyr"/>
      <family val="2"/>
    </font>
    <font>
      <sz val="10"/>
      <color indexed="9"/>
      <name val="Arial Cyr"/>
      <family val="2"/>
    </font>
    <font>
      <strike/>
      <sz val="8"/>
      <name val="Symbol"/>
      <family val="1"/>
    </font>
    <font>
      <strike/>
      <sz val="8"/>
      <name val="Arial Cyr"/>
      <family val="2"/>
    </font>
    <font>
      <strike/>
      <sz val="10"/>
      <color indexed="9"/>
      <name val="Arial Cyr"/>
      <family val="2"/>
    </font>
    <font>
      <b/>
      <sz val="8"/>
      <name val="Symbol"/>
      <family val="1"/>
    </font>
    <font>
      <sz val="8"/>
      <color indexed="14"/>
      <name val="Arial Cyr"/>
      <family val="2"/>
    </font>
    <font>
      <b/>
      <sz val="10"/>
      <color indexed="14"/>
      <name val="Arial Cyr"/>
      <family val="2"/>
    </font>
    <font>
      <b/>
      <sz val="8"/>
      <color indexed="14"/>
      <name val="Symbol"/>
      <family val="1"/>
    </font>
    <font>
      <sz val="8"/>
      <color indexed="12"/>
      <name val="Arial Cyr"/>
      <family val="2"/>
    </font>
    <font>
      <b/>
      <sz val="8"/>
      <color indexed="12"/>
      <name val="Symbol"/>
      <family val="1"/>
    </font>
    <font>
      <sz val="8"/>
      <color indexed="25"/>
      <name val="Arial Cyr"/>
      <family val="2"/>
    </font>
    <font>
      <b/>
      <sz val="10"/>
      <color indexed="25"/>
      <name val="Arial Cyr"/>
      <family val="2"/>
    </font>
    <font>
      <b/>
      <sz val="8"/>
      <color indexed="25"/>
      <name val="Symbol"/>
      <family val="1"/>
    </font>
    <font>
      <b/>
      <u val="single"/>
      <sz val="10"/>
      <name val="Arial Cyr"/>
      <family val="2"/>
    </font>
    <font>
      <b/>
      <vertAlign val="subscript"/>
      <sz val="10"/>
      <name val="Arial Cyr"/>
      <family val="2"/>
    </font>
    <font>
      <b/>
      <sz val="12"/>
      <color indexed="12"/>
      <name val="Arial Cyr"/>
      <family val="2"/>
    </font>
    <font>
      <sz val="10"/>
      <color indexed="21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8"/>
      <color indexed="43"/>
      <name val="Arial Cyr"/>
      <family val="2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trike/>
      <sz val="10"/>
      <name val="Arial Cyr"/>
      <family val="2"/>
    </font>
    <font>
      <b/>
      <strike/>
      <vertAlign val="subscript"/>
      <sz val="10"/>
      <name val="Arial Cyr"/>
      <family val="2"/>
    </font>
    <font>
      <strike/>
      <sz val="9"/>
      <name val="Arial Cyr"/>
      <family val="2"/>
    </font>
    <font>
      <strike/>
      <sz val="8"/>
      <name val="Arial"/>
      <family val="2"/>
    </font>
    <font>
      <strike/>
      <sz val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Symbol"/>
      <family val="1"/>
    </font>
    <font>
      <b/>
      <sz val="8"/>
      <color indexed="12"/>
      <name val="Arial Cyr"/>
      <family val="2"/>
    </font>
    <font>
      <sz val="9"/>
      <color indexed="9"/>
      <name val="Arial Cyr"/>
      <family val="2"/>
    </font>
    <font>
      <b/>
      <sz val="9"/>
      <name val="Arial Cyr"/>
      <family val="2"/>
    </font>
    <font>
      <b/>
      <sz val="10"/>
      <color indexed="23"/>
      <name val="Arial Cyr"/>
      <family val="2"/>
    </font>
    <font>
      <sz val="10"/>
      <color indexed="45"/>
      <name val="Arial Cyr"/>
      <family val="2"/>
    </font>
    <font>
      <b/>
      <sz val="8"/>
      <color indexed="45"/>
      <name val="Arial Cyr"/>
      <family val="2"/>
    </font>
    <font>
      <sz val="10"/>
      <color indexed="45"/>
      <name val="Times New Roman"/>
      <family val="1"/>
    </font>
    <font>
      <sz val="10"/>
      <color indexed="10"/>
      <name val="Arial Cyr"/>
      <family val="2"/>
    </font>
    <font>
      <b/>
      <sz val="10"/>
      <color indexed="45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45"/>
      <name val="Arial Cyr"/>
      <family val="2"/>
    </font>
    <font>
      <vertAlign val="subscript"/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vertAlign val="subscript"/>
      <sz val="10"/>
      <color indexed="12"/>
      <name val="Arial Cyr"/>
      <family val="2"/>
    </font>
    <font>
      <b/>
      <sz val="8"/>
      <color indexed="10"/>
      <name val="Arial Cyr"/>
      <family val="2"/>
    </font>
    <font>
      <sz val="6"/>
      <name val="Times New Roman"/>
      <family val="1"/>
    </font>
    <font>
      <vertAlign val="subscript"/>
      <sz val="6"/>
      <name val="Times New Roman"/>
      <family val="1"/>
    </font>
    <font>
      <strike/>
      <sz val="9"/>
      <name val="Times New Roman"/>
      <family val="1"/>
    </font>
    <font>
      <strike/>
      <vertAlign val="subscript"/>
      <sz val="9"/>
      <name val="Times New Roman"/>
      <family val="1"/>
    </font>
    <font>
      <strike/>
      <vertAlign val="subscript"/>
      <sz val="11"/>
      <name val="Times New Roman"/>
      <family val="1"/>
    </font>
    <font>
      <b/>
      <strike/>
      <sz val="10"/>
      <color indexed="10"/>
      <name val="Arial Cyr"/>
      <family val="2"/>
    </font>
    <font>
      <sz val="8"/>
      <name val="Tahoma"/>
      <family val="2"/>
    </font>
    <font>
      <b/>
      <strike/>
      <sz val="10"/>
      <color indexed="12"/>
      <name val="Arial Cyr"/>
      <family val="2"/>
    </font>
    <font>
      <b/>
      <sz val="12"/>
      <color indexed="12"/>
      <name val="Times New Roman"/>
      <family val="1"/>
    </font>
    <font>
      <i/>
      <sz val="8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color indexed="23"/>
      <name val="Arial Cyr"/>
      <family val="2"/>
    </font>
    <font>
      <b/>
      <sz val="10"/>
      <color indexed="62"/>
      <name val="Arial Cyr"/>
      <family val="2"/>
    </font>
    <font>
      <b/>
      <vertAlign val="subscript"/>
      <sz val="10"/>
      <color indexed="62"/>
      <name val="Arial Cyr"/>
      <family val="2"/>
    </font>
    <font>
      <b/>
      <sz val="9"/>
      <color indexed="9"/>
      <name val="Arial Cyr"/>
      <family val="2"/>
    </font>
    <font>
      <b/>
      <strike/>
      <sz val="10"/>
      <name val="Times New Roman"/>
      <family val="1"/>
    </font>
    <font>
      <strike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2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15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9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8"/>
      </top>
      <bottom style="thin">
        <color indexed="15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 style="medium">
        <color indexed="8"/>
      </top>
      <bottom style="thin">
        <color indexed="15"/>
      </bottom>
    </border>
    <border>
      <left style="thin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15"/>
      </bottom>
    </border>
    <border>
      <left style="thin">
        <color indexed="8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8"/>
      </top>
      <bottom style="medium"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9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5" fillId="0" borderId="5" xfId="15" applyNumberFormat="1" applyFont="1" applyFill="1" applyBorder="1" applyAlignment="1" applyProtection="1">
      <alignment vertical="center" wrapText="1"/>
      <protection/>
    </xf>
    <xf numFmtId="0" fontId="4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15" applyNumberFormat="1" applyFont="1" applyFill="1" applyBorder="1" applyAlignment="1" applyProtection="1">
      <alignment vertical="center" wrapText="1"/>
      <protection/>
    </xf>
    <xf numFmtId="0" fontId="3" fillId="2" borderId="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15" fillId="4" borderId="6" xfId="15" applyNumberFormat="1" applyFont="1" applyFill="1" applyBorder="1" applyAlignment="1" applyProtection="1">
      <alignment vertical="center" wrapText="1"/>
      <protection/>
    </xf>
    <xf numFmtId="49" fontId="3" fillId="4" borderId="6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9" fontId="26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 wrapText="1"/>
    </xf>
    <xf numFmtId="0" fontId="25" fillId="5" borderId="5" xfId="0" applyNumberFormat="1" applyFont="1" applyFill="1" applyBorder="1" applyAlignment="1">
      <alignment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15" fillId="3" borderId="6" xfId="15" applyNumberFormat="1" applyFont="1" applyFill="1" applyBorder="1" applyAlignment="1" applyProtection="1">
      <alignment vertical="center" wrapText="1"/>
      <protection/>
    </xf>
    <xf numFmtId="49" fontId="3" fillId="3" borderId="6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7" fillId="3" borderId="6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27" fillId="4" borderId="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6" borderId="6" xfId="0" applyNumberFormat="1" applyFont="1" applyFill="1" applyBorder="1" applyAlignment="1">
      <alignment vertical="center" wrapText="1"/>
    </xf>
    <xf numFmtId="0" fontId="4" fillId="6" borderId="6" xfId="0" applyNumberFormat="1" applyFont="1" applyFill="1" applyBorder="1" applyAlignment="1">
      <alignment horizontal="center" vertical="center" wrapText="1"/>
    </xf>
    <xf numFmtId="0" fontId="28" fillId="4" borderId="3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28" fillId="6" borderId="3" xfId="0" applyNumberFormat="1" applyFont="1" applyFill="1" applyBorder="1" applyAlignment="1">
      <alignment vertical="center"/>
    </xf>
    <xf numFmtId="0" fontId="15" fillId="6" borderId="6" xfId="15" applyNumberFormat="1" applyFont="1" applyFill="1" applyBorder="1" applyAlignment="1" applyProtection="1">
      <alignment vertical="center" wrapText="1"/>
      <protection/>
    </xf>
    <xf numFmtId="49" fontId="3" fillId="6" borderId="6" xfId="0" applyNumberFormat="1" applyFont="1" applyFill="1" applyBorder="1" applyAlignment="1">
      <alignment horizontal="center" vertical="center" wrapText="1"/>
    </xf>
    <xf numFmtId="49" fontId="27" fillId="6" borderId="6" xfId="0" applyNumberFormat="1" applyFont="1" applyFill="1" applyBorder="1" applyAlignment="1">
      <alignment horizontal="center" vertical="center" wrapText="1"/>
    </xf>
    <xf numFmtId="0" fontId="28" fillId="7" borderId="3" xfId="0" applyNumberFormat="1" applyFont="1" applyFill="1" applyBorder="1" applyAlignment="1">
      <alignment vertical="center"/>
    </xf>
    <xf numFmtId="0" fontId="15" fillId="7" borderId="6" xfId="15" applyNumberFormat="1" applyFont="1" applyFill="1" applyBorder="1" applyAlignment="1" applyProtection="1">
      <alignment vertical="center" wrapText="1"/>
      <protection/>
    </xf>
    <xf numFmtId="49" fontId="3" fillId="7" borderId="6" xfId="0" applyNumberFormat="1" applyFont="1" applyFill="1" applyBorder="1" applyAlignment="1">
      <alignment horizontal="center" vertical="center" wrapText="1"/>
    </xf>
    <xf numFmtId="0" fontId="4" fillId="7" borderId="6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49" fontId="27" fillId="7" borderId="6" xfId="0" applyNumberFormat="1" applyFont="1" applyFill="1" applyBorder="1" applyAlignment="1">
      <alignment horizontal="center" vertical="center" wrapText="1"/>
    </xf>
    <xf numFmtId="0" fontId="15" fillId="0" borderId="9" xfId="15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28" fillId="2" borderId="3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vertical="center" wrapText="1"/>
    </xf>
    <xf numFmtId="16" fontId="3" fillId="0" borderId="5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right" vertical="center" wrapText="1"/>
    </xf>
    <xf numFmtId="0" fontId="30" fillId="6" borderId="6" xfId="0" applyFont="1" applyFill="1" applyBorder="1" applyAlignment="1">
      <alignment horizontal="left" vertical="center" wrapText="1"/>
    </xf>
    <xf numFmtId="0" fontId="36" fillId="6" borderId="1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6" fillId="8" borderId="16" xfId="0" applyFont="1" applyFill="1" applyBorder="1" applyAlignment="1">
      <alignment horizontal="center" vertical="center"/>
    </xf>
    <xf numFmtId="0" fontId="36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6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6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0" fontId="36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42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9" borderId="1" xfId="0" applyFont="1" applyFill="1" applyBorder="1" applyAlignment="1">
      <alignment vertical="center"/>
    </xf>
    <xf numFmtId="0" fontId="47" fillId="9" borderId="21" xfId="0" applyFont="1" applyFill="1" applyBorder="1" applyAlignment="1">
      <alignment horizontal="right" vertical="center"/>
    </xf>
    <xf numFmtId="0" fontId="47" fillId="9" borderId="21" xfId="0" applyFont="1" applyFill="1" applyBorder="1" applyAlignment="1">
      <alignment horizontal="center" vertical="center"/>
    </xf>
    <xf numFmtId="0" fontId="46" fillId="9" borderId="6" xfId="0" applyFont="1" applyFill="1" applyBorder="1" applyAlignment="1">
      <alignment vertical="center"/>
    </xf>
    <xf numFmtId="0" fontId="48" fillId="10" borderId="0" xfId="0" applyFont="1" applyFill="1" applyBorder="1" applyAlignment="1">
      <alignment horizontal="center" vertical="center" wrapText="1"/>
    </xf>
    <xf numFmtId="0" fontId="15" fillId="7" borderId="22" xfId="15" applyNumberFormat="1" applyFont="1" applyFill="1" applyBorder="1" applyAlignment="1" applyProtection="1">
      <alignment vertical="center" wrapText="1"/>
      <protection/>
    </xf>
    <xf numFmtId="0" fontId="47" fillId="9" borderId="21" xfId="0" applyFont="1" applyFill="1" applyBorder="1" applyAlignment="1">
      <alignment horizontal="left" vertical="center"/>
    </xf>
    <xf numFmtId="0" fontId="36" fillId="7" borderId="21" xfId="0" applyFont="1" applyFill="1" applyBorder="1" applyAlignment="1">
      <alignment horizontal="right" vertical="center"/>
    </xf>
    <xf numFmtId="0" fontId="36" fillId="7" borderId="21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49" fillId="7" borderId="3" xfId="0" applyFont="1" applyFill="1" applyBorder="1" applyAlignment="1">
      <alignment vertical="center"/>
    </xf>
    <xf numFmtId="0" fontId="36" fillId="8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40" fillId="0" borderId="0" xfId="0" applyFont="1" applyAlignment="1">
      <alignment/>
    </xf>
    <xf numFmtId="0" fontId="0" fillId="6" borderId="22" xfId="0" applyFill="1" applyBorder="1" applyAlignment="1">
      <alignment/>
    </xf>
    <xf numFmtId="0" fontId="50" fillId="6" borderId="3" xfId="0" applyFont="1" applyFill="1" applyBorder="1" applyAlignment="1">
      <alignment horizontal="center"/>
    </xf>
    <xf numFmtId="0" fontId="48" fillId="11" borderId="1" xfId="0" applyFont="1" applyFill="1" applyBorder="1" applyAlignment="1">
      <alignment horizontal="center" wrapText="1"/>
    </xf>
    <xf numFmtId="0" fontId="48" fillId="12" borderId="3" xfId="0" applyFont="1" applyFill="1" applyBorder="1" applyAlignment="1">
      <alignment horizontal="center" wrapText="1"/>
    </xf>
    <xf numFmtId="0" fontId="48" fillId="10" borderId="0" xfId="0" applyFont="1" applyFill="1" applyBorder="1" applyAlignment="1">
      <alignment horizontal="center" vertical="top" wrapText="1"/>
    </xf>
    <xf numFmtId="0" fontId="51" fillId="7" borderId="20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wrapText="1"/>
    </xf>
    <xf numFmtId="0" fontId="53" fillId="0" borderId="6" xfId="0" applyFont="1" applyFill="1" applyBorder="1" applyAlignment="1">
      <alignment horizontal="center" wrapText="1"/>
    </xf>
    <xf numFmtId="0" fontId="53" fillId="0" borderId="8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7" borderId="0" xfId="0" applyFill="1" applyAlignment="1">
      <alignment horizontal="left"/>
    </xf>
    <xf numFmtId="0" fontId="41" fillId="6" borderId="7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54" fillId="13" borderId="26" xfId="0" applyFont="1" applyFill="1" applyBorder="1" applyAlignment="1">
      <alignment horizontal="right"/>
    </xf>
    <xf numFmtId="0" fontId="0" fillId="3" borderId="27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8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29" xfId="0" applyFill="1" applyBorder="1" applyAlignment="1">
      <alignment/>
    </xf>
    <xf numFmtId="0" fontId="0" fillId="7" borderId="0" xfId="0" applyFill="1" applyBorder="1" applyAlignment="1">
      <alignment/>
    </xf>
    <xf numFmtId="0" fontId="0" fillId="6" borderId="7" xfId="0" applyFont="1" applyFill="1" applyBorder="1" applyAlignment="1">
      <alignment horizontal="center" vertical="top"/>
    </xf>
    <xf numFmtId="0" fontId="54" fillId="13" borderId="28" xfId="0" applyFont="1" applyFill="1" applyBorder="1" applyAlignment="1">
      <alignment horizontal="right" vertical="center"/>
    </xf>
    <xf numFmtId="0" fontId="0" fillId="3" borderId="30" xfId="0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/>
    </xf>
    <xf numFmtId="0" fontId="0" fillId="6" borderId="8" xfId="0" applyFill="1" applyBorder="1" applyAlignment="1">
      <alignment/>
    </xf>
    <xf numFmtId="0" fontId="54" fillId="13" borderId="9" xfId="0" applyFont="1" applyFill="1" applyBorder="1" applyAlignment="1">
      <alignment horizontal="right" vertical="center"/>
    </xf>
    <xf numFmtId="0" fontId="41" fillId="0" borderId="0" xfId="0" applyFont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4" fillId="13" borderId="32" xfId="0" applyFont="1" applyFill="1" applyBorder="1" applyAlignment="1">
      <alignment horizontal="right" vertical="center"/>
    </xf>
    <xf numFmtId="0" fontId="0" fillId="6" borderId="7" xfId="0" applyFill="1" applyBorder="1" applyAlignment="1">
      <alignment/>
    </xf>
    <xf numFmtId="0" fontId="0" fillId="14" borderId="29" xfId="0" applyFill="1" applyBorder="1" applyAlignment="1">
      <alignment/>
    </xf>
    <xf numFmtId="0" fontId="0" fillId="14" borderId="0" xfId="0" applyFill="1" applyAlignment="1">
      <alignment/>
    </xf>
    <xf numFmtId="0" fontId="0" fillId="0" borderId="30" xfId="0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2" fillId="15" borderId="28" xfId="0" applyFont="1" applyFill="1" applyBorder="1" applyAlignment="1">
      <alignment horizontal="center" vertical="center"/>
    </xf>
    <xf numFmtId="0" fontId="41" fillId="15" borderId="7" xfId="0" applyFont="1" applyFill="1" applyBorder="1" applyAlignment="1">
      <alignment horizontal="center" vertical="center"/>
    </xf>
    <xf numFmtId="0" fontId="62" fillId="6" borderId="28" xfId="0" applyFont="1" applyFill="1" applyBorder="1" applyAlignment="1">
      <alignment horizontal="right" vertical="center"/>
    </xf>
    <xf numFmtId="0" fontId="64" fillId="6" borderId="30" xfId="0" applyFont="1" applyFill="1" applyBorder="1" applyAlignment="1">
      <alignment horizontal="center" vertical="center"/>
    </xf>
    <xf numFmtId="0" fontId="65" fillId="6" borderId="0" xfId="0" applyFont="1" applyFill="1" applyAlignment="1">
      <alignment vertical="center"/>
    </xf>
    <xf numFmtId="0" fontId="0" fillId="6" borderId="0" xfId="0" applyFill="1" applyAlignment="1">
      <alignment/>
    </xf>
    <xf numFmtId="0" fontId="67" fillId="6" borderId="30" xfId="0" applyFont="1" applyFill="1" applyBorder="1" applyAlignment="1">
      <alignment horizontal="center" vertical="center"/>
    </xf>
    <xf numFmtId="0" fontId="54" fillId="13" borderId="33" xfId="0" applyFont="1" applyFill="1" applyBorder="1" applyAlignment="1">
      <alignment horizontal="right"/>
    </xf>
    <xf numFmtId="0" fontId="0" fillId="3" borderId="34" xfId="0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8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48" fillId="11" borderId="4" xfId="0" applyFont="1" applyFill="1" applyBorder="1" applyAlignment="1">
      <alignment horizontal="center" wrapText="1"/>
    </xf>
    <xf numFmtId="0" fontId="41" fillId="0" borderId="1" xfId="0" applyFont="1" applyBorder="1" applyAlignment="1">
      <alignment vertical="center" wrapText="1"/>
    </xf>
    <xf numFmtId="0" fontId="41" fillId="0" borderId="6" xfId="0" applyFont="1" applyBorder="1" applyAlignment="1">
      <alignment horizontal="center" vertical="center"/>
    </xf>
    <xf numFmtId="0" fontId="41" fillId="15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1" fillId="7" borderId="3" xfId="0" applyFont="1" applyFill="1" applyBorder="1" applyAlignment="1">
      <alignment vertical="center" wrapText="1"/>
    </xf>
    <xf numFmtId="0" fontId="74" fillId="2" borderId="3" xfId="0" applyFont="1" applyFill="1" applyBorder="1" applyAlignment="1">
      <alignment horizontal="right" vertical="top" wrapText="1"/>
    </xf>
    <xf numFmtId="0" fontId="36" fillId="4" borderId="3" xfId="0" applyFont="1" applyFill="1" applyBorder="1" applyAlignment="1">
      <alignment horizontal="center" vertical="center"/>
    </xf>
    <xf numFmtId="0" fontId="41" fillId="7" borderId="4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/>
    </xf>
    <xf numFmtId="0" fontId="0" fillId="9" borderId="7" xfId="0" applyFont="1" applyFill="1" applyBorder="1" applyAlignment="1">
      <alignment/>
    </xf>
    <xf numFmtId="0" fontId="50" fillId="6" borderId="1" xfId="0" applyFont="1" applyFill="1" applyBorder="1" applyAlignment="1">
      <alignment horizontal="center"/>
    </xf>
    <xf numFmtId="0" fontId="50" fillId="6" borderId="6" xfId="0" applyFont="1" applyFill="1" applyBorder="1" applyAlignment="1">
      <alignment horizontal="center"/>
    </xf>
    <xf numFmtId="0" fontId="54" fillId="13" borderId="35" xfId="0" applyFont="1" applyFill="1" applyBorder="1" applyAlignment="1">
      <alignment horizontal="right"/>
    </xf>
    <xf numFmtId="0" fontId="0" fillId="3" borderId="26" xfId="0" applyFill="1" applyBorder="1" applyAlignment="1">
      <alignment horizontal="center" vertical="center"/>
    </xf>
    <xf numFmtId="0" fontId="54" fillId="13" borderId="36" xfId="0" applyFon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/>
    </xf>
    <xf numFmtId="0" fontId="0" fillId="14" borderId="0" xfId="0" applyFill="1" applyBorder="1" applyAlignment="1">
      <alignment/>
    </xf>
    <xf numFmtId="0" fontId="36" fillId="6" borderId="28" xfId="0" applyFont="1" applyFill="1" applyBorder="1" applyAlignment="1">
      <alignment horizontal="right" vertical="center"/>
    </xf>
    <xf numFmtId="0" fontId="0" fillId="6" borderId="3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54" fillId="13" borderId="37" xfId="0" applyFont="1" applyFill="1" applyBorder="1" applyAlignment="1">
      <alignment horizontal="right"/>
    </xf>
    <xf numFmtId="0" fontId="52" fillId="0" borderId="4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16" borderId="6" xfId="0" applyFont="1" applyFill="1" applyBorder="1" applyAlignment="1">
      <alignment horizontal="center" vertical="center"/>
    </xf>
    <xf numFmtId="0" fontId="41" fillId="15" borderId="3" xfId="0" applyFont="1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 wrapText="1"/>
    </xf>
    <xf numFmtId="0" fontId="41" fillId="15" borderId="6" xfId="0" applyFont="1" applyFill="1" applyBorder="1" applyAlignment="1">
      <alignment horizontal="center" vertical="center"/>
    </xf>
    <xf numFmtId="0" fontId="41" fillId="8" borderId="9" xfId="0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1" fillId="8" borderId="5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0" xfId="0" applyFill="1" applyAlignment="1">
      <alignment vertical="center"/>
    </xf>
    <xf numFmtId="0" fontId="80" fillId="0" borderId="0" xfId="0" applyFont="1" applyAlignment="1">
      <alignment vertical="center"/>
    </xf>
    <xf numFmtId="0" fontId="81" fillId="2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9" fillId="2" borderId="0" xfId="0" applyFont="1" applyFill="1" applyAlignment="1">
      <alignment horizontal="left"/>
    </xf>
    <xf numFmtId="0" fontId="83" fillId="9" borderId="1" xfId="0" applyFont="1" applyFill="1" applyBorder="1" applyAlignment="1">
      <alignment/>
    </xf>
    <xf numFmtId="0" fontId="47" fillId="9" borderId="21" xfId="0" applyFont="1" applyFill="1" applyBorder="1" applyAlignment="1">
      <alignment horizontal="right"/>
    </xf>
    <xf numFmtId="0" fontId="47" fillId="9" borderId="6" xfId="0" applyFont="1" applyFill="1" applyBorder="1" applyAlignment="1">
      <alignment horizontal="left"/>
    </xf>
    <xf numFmtId="0" fontId="50" fillId="6" borderId="38" xfId="0" applyFont="1" applyFill="1" applyBorder="1" applyAlignment="1">
      <alignment horizontal="center"/>
    </xf>
    <xf numFmtId="0" fontId="50" fillId="6" borderId="5" xfId="0" applyFont="1" applyFill="1" applyBorder="1" applyAlignment="1">
      <alignment horizontal="center"/>
    </xf>
    <xf numFmtId="0" fontId="48" fillId="11" borderId="3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50" fillId="6" borderId="7" xfId="0" applyFont="1" applyFill="1" applyBorder="1" applyAlignment="1">
      <alignment/>
    </xf>
    <xf numFmtId="0" fontId="54" fillId="13" borderId="39" xfId="0" applyFont="1" applyFill="1" applyBorder="1" applyAlignment="1">
      <alignment horizontal="right"/>
    </xf>
    <xf numFmtId="0" fontId="53" fillId="3" borderId="12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7" borderId="40" xfId="0" applyFill="1" applyBorder="1" applyAlignment="1">
      <alignment/>
    </xf>
    <xf numFmtId="0" fontId="64" fillId="6" borderId="7" xfId="0" applyFont="1" applyFill="1" applyBorder="1" applyAlignment="1">
      <alignment horizontal="center" vertical="top"/>
    </xf>
    <xf numFmtId="0" fontId="41" fillId="0" borderId="2" xfId="0" applyFont="1" applyBorder="1" applyAlignment="1">
      <alignment vertical="center" wrapText="1"/>
    </xf>
    <xf numFmtId="0" fontId="64" fillId="6" borderId="41" xfId="0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64" fillId="6" borderId="42" xfId="0" applyFont="1" applyFill="1" applyBorder="1" applyAlignment="1">
      <alignment horizontal="center" vertical="center"/>
    </xf>
    <xf numFmtId="0" fontId="41" fillId="0" borderId="3" xfId="0" applyFont="1" applyBorder="1" applyAlignment="1">
      <alignment vertical="center" wrapText="1"/>
    </xf>
    <xf numFmtId="0" fontId="54" fillId="13" borderId="43" xfId="0" applyFont="1" applyFill="1" applyBorder="1" applyAlignment="1">
      <alignment horizontal="right" vertical="center"/>
    </xf>
    <xf numFmtId="0" fontId="48" fillId="6" borderId="0" xfId="0" applyFont="1" applyFill="1" applyBorder="1" applyAlignment="1">
      <alignment/>
    </xf>
    <xf numFmtId="0" fontId="54" fillId="13" borderId="44" xfId="0" applyFont="1" applyFill="1" applyBorder="1" applyAlignment="1">
      <alignment horizontal="right" vertical="center"/>
    </xf>
    <xf numFmtId="49" fontId="84" fillId="6" borderId="0" xfId="0" applyNumberFormat="1" applyFont="1" applyFill="1" applyBorder="1" applyAlignment="1">
      <alignment horizontal="center" wrapText="1"/>
    </xf>
    <xf numFmtId="0" fontId="85" fillId="6" borderId="0" xfId="0" applyFont="1" applyFill="1" applyBorder="1" applyAlignment="1">
      <alignment horizontal="center" vertical="center" wrapText="1"/>
    </xf>
    <xf numFmtId="0" fontId="48" fillId="6" borderId="45" xfId="0" applyFont="1" applyFill="1" applyBorder="1" applyAlignment="1">
      <alignment/>
    </xf>
    <xf numFmtId="0" fontId="85" fillId="6" borderId="45" xfId="0" applyFont="1" applyFill="1" applyBorder="1" applyAlignment="1">
      <alignment horizontal="center" vertical="center" wrapText="1"/>
    </xf>
    <xf numFmtId="0" fontId="54" fillId="13" borderId="46" xfId="0" applyFont="1" applyFill="1" applyBorder="1" applyAlignment="1">
      <alignment horizontal="right" vertical="center"/>
    </xf>
    <xf numFmtId="0" fontId="85" fillId="6" borderId="47" xfId="0" applyFont="1" applyFill="1" applyBorder="1" applyAlignment="1">
      <alignment horizontal="center" vertical="center" wrapText="1"/>
    </xf>
    <xf numFmtId="0" fontId="86" fillId="6" borderId="48" xfId="0" applyFont="1" applyFill="1" applyBorder="1" applyAlignment="1">
      <alignment horizontal="right" vertical="center"/>
    </xf>
    <xf numFmtId="0" fontId="88" fillId="6" borderId="12" xfId="0" applyFont="1" applyFill="1" applyBorder="1" applyAlignment="1">
      <alignment horizontal="center" vertical="center"/>
    </xf>
    <xf numFmtId="0" fontId="89" fillId="6" borderId="0" xfId="0" applyFont="1" applyFill="1" applyAlignment="1">
      <alignment horizontal="left" vertical="center"/>
    </xf>
    <xf numFmtId="0" fontId="90" fillId="6" borderId="0" xfId="0" applyFont="1" applyFill="1" applyAlignment="1">
      <alignment/>
    </xf>
    <xf numFmtId="0" fontId="41" fillId="15" borderId="28" xfId="0" applyFont="1" applyFill="1" applyBorder="1" applyAlignment="1">
      <alignment horizontal="center" vertical="center"/>
    </xf>
    <xf numFmtId="0" fontId="86" fillId="6" borderId="36" xfId="0" applyFont="1" applyFill="1" applyBorder="1" applyAlignment="1">
      <alignment horizontal="right" vertical="center"/>
    </xf>
    <xf numFmtId="0" fontId="53" fillId="6" borderId="33" xfId="0" applyFont="1" applyFill="1" applyBorder="1" applyAlignment="1">
      <alignment horizontal="center" vertical="center"/>
    </xf>
    <xf numFmtId="0" fontId="66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53" fillId="3" borderId="33" xfId="0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9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49" xfId="0" applyFill="1" applyBorder="1" applyAlignment="1">
      <alignment/>
    </xf>
    <xf numFmtId="0" fontId="41" fillId="2" borderId="22" xfId="0" applyFont="1" applyFill="1" applyBorder="1" applyAlignment="1">
      <alignment vertical="center" wrapText="1"/>
    </xf>
    <xf numFmtId="0" fontId="91" fillId="2" borderId="50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vertical="center" wrapText="1"/>
    </xf>
    <xf numFmtId="0" fontId="41" fillId="2" borderId="20" xfId="0" applyFont="1" applyFill="1" applyBorder="1" applyAlignment="1">
      <alignment vertical="center" wrapText="1"/>
    </xf>
    <xf numFmtId="0" fontId="91" fillId="2" borderId="38" xfId="0" applyFont="1" applyFill="1" applyBorder="1" applyAlignment="1">
      <alignment horizontal="right" vertical="top" wrapText="1"/>
    </xf>
    <xf numFmtId="0" fontId="4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36" fillId="2" borderId="0" xfId="0" applyFont="1" applyFill="1" applyAlignment="1">
      <alignment horizontal="right"/>
    </xf>
    <xf numFmtId="0" fontId="61" fillId="0" borderId="0" xfId="0" applyFont="1" applyAlignment="1">
      <alignment horizontal="right" vertical="center"/>
    </xf>
    <xf numFmtId="0" fontId="47" fillId="9" borderId="2" xfId="0" applyFont="1" applyFill="1" applyBorder="1" applyAlignment="1">
      <alignment horizontal="center"/>
    </xf>
    <xf numFmtId="0" fontId="50" fillId="6" borderId="20" xfId="0" applyFont="1" applyFill="1" applyBorder="1" applyAlignment="1">
      <alignment horizontal="center"/>
    </xf>
    <xf numFmtId="0" fontId="53" fillId="3" borderId="26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85" fillId="6" borderId="41" xfId="0" applyFont="1" applyFill="1" applyBorder="1" applyAlignment="1">
      <alignment horizontal="center" vertical="center" wrapText="1"/>
    </xf>
    <xf numFmtId="0" fontId="85" fillId="6" borderId="51" xfId="0" applyFont="1" applyFill="1" applyBorder="1" applyAlignment="1">
      <alignment horizontal="center" vertical="center" wrapText="1"/>
    </xf>
    <xf numFmtId="0" fontId="93" fillId="0" borderId="0" xfId="0" applyFont="1" applyAlignment="1">
      <alignment vertical="center" wrapText="1"/>
    </xf>
    <xf numFmtId="0" fontId="85" fillId="6" borderId="31" xfId="0" applyFont="1" applyFill="1" applyBorder="1" applyAlignment="1">
      <alignment horizontal="center" vertical="center" wrapText="1"/>
    </xf>
    <xf numFmtId="0" fontId="48" fillId="6" borderId="31" xfId="0" applyFont="1" applyFill="1" applyBorder="1" applyAlignment="1">
      <alignment/>
    </xf>
    <xf numFmtId="0" fontId="54" fillId="13" borderId="52" xfId="0" applyFont="1" applyFill="1" applyBorder="1" applyAlignment="1">
      <alignment horizontal="right" vertical="center"/>
    </xf>
    <xf numFmtId="0" fontId="48" fillId="6" borderId="7" xfId="0" applyFont="1" applyFill="1" applyBorder="1" applyAlignment="1">
      <alignment/>
    </xf>
    <xf numFmtId="0" fontId="48" fillId="6" borderId="53" xfId="0" applyFont="1" applyFill="1" applyBorder="1" applyAlignment="1">
      <alignment/>
    </xf>
    <xf numFmtId="49" fontId="84" fillId="6" borderId="7" xfId="0" applyNumberFormat="1" applyFont="1" applyFill="1" applyBorder="1" applyAlignment="1">
      <alignment horizontal="center" wrapText="1"/>
    </xf>
    <xf numFmtId="0" fontId="85" fillId="6" borderId="54" xfId="0" applyFont="1" applyFill="1" applyBorder="1" applyAlignment="1">
      <alignment horizontal="center" vertical="center" wrapText="1"/>
    </xf>
    <xf numFmtId="0" fontId="48" fillId="6" borderId="55" xfId="0" applyFont="1" applyFill="1" applyBorder="1" applyAlignment="1">
      <alignment/>
    </xf>
    <xf numFmtId="0" fontId="54" fillId="13" borderId="56" xfId="0" applyFont="1" applyFill="1" applyBorder="1" applyAlignment="1">
      <alignment horizontal="right" vertical="center"/>
    </xf>
    <xf numFmtId="0" fontId="53" fillId="0" borderId="57" xfId="0" applyFont="1" applyFill="1" applyBorder="1" applyAlignment="1">
      <alignment horizontal="center" vertical="center"/>
    </xf>
    <xf numFmtId="0" fontId="85" fillId="6" borderId="58" xfId="0" applyFont="1" applyFill="1" applyBorder="1" applyAlignment="1">
      <alignment horizontal="center" vertical="center" wrapText="1"/>
    </xf>
    <xf numFmtId="0" fontId="54" fillId="13" borderId="58" xfId="0" applyFont="1" applyFill="1" applyBorder="1" applyAlignment="1">
      <alignment horizontal="right" vertical="center"/>
    </xf>
    <xf numFmtId="0" fontId="85" fillId="6" borderId="7" xfId="0" applyFont="1" applyFill="1" applyBorder="1" applyAlignment="1">
      <alignment horizontal="center" vertical="center" wrapText="1"/>
    </xf>
    <xf numFmtId="0" fontId="94" fillId="6" borderId="12" xfId="0" applyFont="1" applyFill="1" applyBorder="1" applyAlignment="1">
      <alignment horizontal="center" vertical="center"/>
    </xf>
    <xf numFmtId="0" fontId="94" fillId="6" borderId="33" xfId="0" applyFont="1" applyFill="1" applyBorder="1" applyAlignment="1">
      <alignment horizontal="center" vertical="center"/>
    </xf>
    <xf numFmtId="0" fontId="85" fillId="6" borderId="20" xfId="0" applyFont="1" applyFill="1" applyBorder="1" applyAlignment="1">
      <alignment horizontal="center" vertical="center" wrapText="1"/>
    </xf>
    <xf numFmtId="0" fontId="54" fillId="13" borderId="34" xfId="0" applyFont="1" applyFill="1" applyBorder="1" applyAlignment="1">
      <alignment horizontal="right"/>
    </xf>
    <xf numFmtId="0" fontId="91" fillId="2" borderId="7" xfId="0" applyFont="1" applyFill="1" applyBorder="1" applyAlignment="1">
      <alignment horizontal="right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91" fillId="2" borderId="20" xfId="0" applyFont="1" applyFill="1" applyBorder="1" applyAlignment="1">
      <alignment horizontal="right" vertical="top" wrapText="1"/>
    </xf>
    <xf numFmtId="0" fontId="83" fillId="9" borderId="22" xfId="0" applyFont="1" applyFill="1" applyBorder="1" applyAlignment="1">
      <alignment/>
    </xf>
    <xf numFmtId="0" fontId="47" fillId="9" borderId="50" xfId="0" applyFont="1" applyFill="1" applyBorder="1" applyAlignment="1">
      <alignment horizontal="right"/>
    </xf>
    <xf numFmtId="0" fontId="0" fillId="6" borderId="29" xfId="0" applyFill="1" applyBorder="1" applyAlignment="1">
      <alignment/>
    </xf>
    <xf numFmtId="0" fontId="50" fillId="6" borderId="59" xfId="0" applyFont="1" applyFill="1" applyBorder="1" applyAlignment="1">
      <alignment horizontal="center"/>
    </xf>
    <xf numFmtId="0" fontId="48" fillId="11" borderId="8" xfId="0" applyFont="1" applyFill="1" applyBorder="1" applyAlignment="1">
      <alignment horizontal="center" vertical="center" wrapText="1"/>
    </xf>
    <xf numFmtId="0" fontId="0" fillId="6" borderId="60" xfId="0" applyFill="1" applyBorder="1" applyAlignment="1">
      <alignment/>
    </xf>
    <xf numFmtId="0" fontId="54" fillId="13" borderId="61" xfId="0" applyFont="1" applyFill="1" applyBorder="1" applyAlignment="1">
      <alignment horizontal="right"/>
    </xf>
    <xf numFmtId="0" fontId="53" fillId="3" borderId="62" xfId="0" applyFont="1" applyFill="1" applyBorder="1" applyAlignment="1">
      <alignment horizontal="center" vertical="center"/>
    </xf>
    <xf numFmtId="0" fontId="53" fillId="3" borderId="63" xfId="0" applyFont="1" applyFill="1" applyBorder="1" applyAlignment="1">
      <alignment horizontal="center" vertical="center"/>
    </xf>
    <xf numFmtId="0" fontId="48" fillId="6" borderId="29" xfId="0" applyFont="1" applyFill="1" applyBorder="1" applyAlignment="1">
      <alignment/>
    </xf>
    <xf numFmtId="49" fontId="84" fillId="6" borderId="29" xfId="0" applyNumberFormat="1" applyFont="1" applyFill="1" applyBorder="1" applyAlignment="1">
      <alignment horizontal="center" wrapText="1"/>
    </xf>
    <xf numFmtId="0" fontId="85" fillId="6" borderId="64" xfId="0" applyFont="1" applyFill="1" applyBorder="1" applyAlignment="1">
      <alignment horizontal="center" vertical="center" wrapText="1"/>
    </xf>
    <xf numFmtId="0" fontId="54" fillId="13" borderId="65" xfId="0" applyFont="1" applyFill="1" applyBorder="1" applyAlignment="1">
      <alignment horizontal="right" vertical="center"/>
    </xf>
    <xf numFmtId="0" fontId="53" fillId="3" borderId="66" xfId="0" applyFont="1" applyFill="1" applyBorder="1" applyAlignment="1">
      <alignment horizontal="center" vertical="center"/>
    </xf>
    <xf numFmtId="0" fontId="47" fillId="9" borderId="24" xfId="0" applyFont="1" applyFill="1" applyBorder="1" applyAlignment="1">
      <alignment horizontal="right"/>
    </xf>
    <xf numFmtId="0" fontId="47" fillId="9" borderId="24" xfId="0" applyFont="1" applyFill="1" applyBorder="1" applyAlignment="1">
      <alignment horizontal="left"/>
    </xf>
    <xf numFmtId="0" fontId="47" fillId="9" borderId="25" xfId="0" applyFont="1" applyFill="1" applyBorder="1" applyAlignment="1">
      <alignment horizontal="left"/>
    </xf>
    <xf numFmtId="0" fontId="0" fillId="6" borderId="0" xfId="0" applyFill="1" applyAlignment="1">
      <alignment vertical="center"/>
    </xf>
    <xf numFmtId="0" fontId="50" fillId="6" borderId="67" xfId="0" applyFont="1" applyFill="1" applyBorder="1" applyAlignment="1">
      <alignment horizontal="center"/>
    </xf>
    <xf numFmtId="0" fontId="50" fillId="6" borderId="40" xfId="0" applyFont="1" applyFill="1" applyBorder="1" applyAlignment="1">
      <alignment horizontal="center" wrapText="1"/>
    </xf>
    <xf numFmtId="0" fontId="64" fillId="6" borderId="0" xfId="0" applyFont="1" applyFill="1" applyAlignment="1">
      <alignment horizontal="right"/>
    </xf>
    <xf numFmtId="0" fontId="64" fillId="6" borderId="0" xfId="0" applyFont="1" applyFill="1" applyAlignment="1">
      <alignment/>
    </xf>
    <xf numFmtId="0" fontId="54" fillId="13" borderId="68" xfId="0" applyFont="1" applyFill="1" applyBorder="1" applyAlignment="1">
      <alignment horizontal="right"/>
    </xf>
    <xf numFmtId="0" fontId="54" fillId="13" borderId="69" xfId="0" applyFont="1" applyFill="1" applyBorder="1" applyAlignment="1">
      <alignment horizontal="right" vertical="center"/>
    </xf>
    <xf numFmtId="0" fontId="54" fillId="13" borderId="70" xfId="0" applyFont="1" applyFill="1" applyBorder="1" applyAlignment="1">
      <alignment horizontal="right" vertical="center"/>
    </xf>
    <xf numFmtId="164" fontId="0" fillId="0" borderId="7" xfId="0" applyNumberFormat="1" applyBorder="1" applyAlignment="1">
      <alignment vertical="center"/>
    </xf>
    <xf numFmtId="0" fontId="54" fillId="13" borderId="71" xfId="0" applyFont="1" applyFill="1" applyBorder="1" applyAlignment="1">
      <alignment horizontal="right" vertical="center"/>
    </xf>
    <xf numFmtId="0" fontId="96" fillId="0" borderId="72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/>
    </xf>
    <xf numFmtId="0" fontId="0" fillId="3" borderId="0" xfId="0" applyFill="1" applyAlignment="1">
      <alignment/>
    </xf>
    <xf numFmtId="0" fontId="5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2" xfId="0" applyFont="1" applyBorder="1" applyAlignment="1">
      <alignment/>
    </xf>
    <xf numFmtId="0" fontId="57" fillId="0" borderId="73" xfId="0" applyFont="1" applyBorder="1" applyAlignment="1">
      <alignment/>
    </xf>
    <xf numFmtId="0" fontId="0" fillId="0" borderId="74" xfId="0" applyBorder="1" applyAlignment="1">
      <alignment/>
    </xf>
    <xf numFmtId="0" fontId="0" fillId="0" borderId="8" xfId="0" applyBorder="1" applyAlignment="1">
      <alignment/>
    </xf>
    <xf numFmtId="0" fontId="95" fillId="0" borderId="22" xfId="0" applyFont="1" applyFill="1" applyBorder="1" applyAlignment="1">
      <alignment/>
    </xf>
    <xf numFmtId="0" fontId="97" fillId="0" borderId="26" xfId="0" applyFont="1" applyBorder="1" applyAlignment="1">
      <alignment/>
    </xf>
    <xf numFmtId="0" fontId="98" fillId="0" borderId="26" xfId="0" applyFont="1" applyBorder="1" applyAlignment="1">
      <alignment/>
    </xf>
    <xf numFmtId="0" fontId="99" fillId="2" borderId="12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95" fillId="0" borderId="20" xfId="0" applyFont="1" applyFill="1" applyBorder="1" applyAlignment="1">
      <alignment/>
    </xf>
    <xf numFmtId="0" fontId="97" fillId="0" borderId="13" xfId="0" applyFont="1" applyBorder="1" applyAlignment="1">
      <alignment/>
    </xf>
    <xf numFmtId="0" fontId="98" fillId="0" borderId="13" xfId="0" applyFont="1" applyBorder="1" applyAlignment="1">
      <alignment/>
    </xf>
    <xf numFmtId="0" fontId="40" fillId="0" borderId="7" xfId="0" applyFont="1" applyBorder="1" applyAlignment="1">
      <alignment horizontal="center" vertical="center"/>
    </xf>
    <xf numFmtId="0" fontId="100" fillId="3" borderId="26" xfId="0" applyFont="1" applyFill="1" applyBorder="1" applyAlignment="1">
      <alignment/>
    </xf>
    <xf numFmtId="0" fontId="0" fillId="3" borderId="75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22" xfId="0" applyBorder="1" applyAlignment="1">
      <alignment horizontal="center"/>
    </xf>
    <xf numFmtId="0" fontId="101" fillId="2" borderId="26" xfId="0" applyFont="1" applyFill="1" applyBorder="1" applyAlignment="1">
      <alignment vertical="center" wrapText="1"/>
    </xf>
    <xf numFmtId="0" fontId="99" fillId="2" borderId="26" xfId="0" applyFont="1" applyFill="1" applyBorder="1" applyAlignment="1">
      <alignment vertical="center" wrapText="1"/>
    </xf>
    <xf numFmtId="0" fontId="100" fillId="3" borderId="12" xfId="0" applyFont="1" applyFill="1" applyBorder="1" applyAlignment="1">
      <alignment/>
    </xf>
    <xf numFmtId="0" fontId="0" fillId="3" borderId="76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Border="1" applyAlignment="1">
      <alignment horizontal="center"/>
    </xf>
    <xf numFmtId="0" fontId="101" fillId="2" borderId="12" xfId="0" applyFont="1" applyFill="1" applyBorder="1" applyAlignment="1">
      <alignment vertical="center" wrapText="1"/>
    </xf>
    <xf numFmtId="0" fontId="0" fillId="3" borderId="12" xfId="0" applyFill="1" applyBorder="1" applyAlignment="1">
      <alignment/>
    </xf>
    <xf numFmtId="0" fontId="36" fillId="0" borderId="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6" fillId="0" borderId="4" xfId="0" applyFont="1" applyBorder="1" applyAlignment="1">
      <alignment/>
    </xf>
    <xf numFmtId="0" fontId="102" fillId="2" borderId="26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40" fillId="0" borderId="7" xfId="0" applyFont="1" applyBorder="1" applyAlignment="1">
      <alignment horizontal="center"/>
    </xf>
    <xf numFmtId="0" fontId="101" fillId="2" borderId="13" xfId="0" applyFont="1" applyFill="1" applyBorder="1" applyAlignment="1">
      <alignment vertical="center" wrapText="1"/>
    </xf>
    <xf numFmtId="0" fontId="99" fillId="2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58" fillId="0" borderId="0" xfId="0" applyFont="1" applyBorder="1" applyAlignment="1">
      <alignment/>
    </xf>
    <xf numFmtId="0" fontId="0" fillId="3" borderId="12" xfId="0" applyFont="1" applyFill="1" applyBorder="1" applyAlignment="1">
      <alignment/>
    </xf>
    <xf numFmtId="0" fontId="103" fillId="2" borderId="12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49" xfId="0" applyFont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3" borderId="7" xfId="0" applyFont="1" applyFill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3" borderId="28" xfId="0" applyFill="1" applyBorder="1" applyAlignment="1">
      <alignment/>
    </xf>
    <xf numFmtId="0" fontId="0" fillId="0" borderId="76" xfId="0" applyFont="1" applyBorder="1" applyAlignment="1">
      <alignment horizontal="center"/>
    </xf>
    <xf numFmtId="0" fontId="0" fillId="3" borderId="9" xfId="0" applyFont="1" applyFill="1" applyBorder="1" applyAlignment="1">
      <alignment/>
    </xf>
    <xf numFmtId="0" fontId="10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77" xfId="0" applyFont="1" applyFill="1" applyBorder="1" applyAlignment="1">
      <alignment/>
    </xf>
    <xf numFmtId="0" fontId="0" fillId="0" borderId="5" xfId="0" applyFont="1" applyBorder="1" applyAlignment="1">
      <alignment/>
    </xf>
    <xf numFmtId="0" fontId="103" fillId="2" borderId="13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/>
    </xf>
    <xf numFmtId="0" fontId="0" fillId="3" borderId="78" xfId="0" applyFill="1" applyBorder="1" applyAlignment="1">
      <alignment/>
    </xf>
    <xf numFmtId="0" fontId="0" fillId="0" borderId="6" xfId="0" applyFill="1" applyBorder="1" applyAlignment="1">
      <alignment/>
    </xf>
    <xf numFmtId="0" fontId="58" fillId="0" borderId="1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97" fillId="0" borderId="0" xfId="0" applyFont="1" applyAlignment="1">
      <alignment/>
    </xf>
    <xf numFmtId="0" fontId="104" fillId="0" borderId="0" xfId="0" applyFont="1" applyAlignment="1">
      <alignment/>
    </xf>
    <xf numFmtId="0" fontId="97" fillId="2" borderId="79" xfId="0" applyFont="1" applyFill="1" applyBorder="1" applyAlignment="1">
      <alignment horizontal="center" vertical="center" wrapText="1"/>
    </xf>
    <xf numFmtId="0" fontId="36" fillId="0" borderId="73" xfId="0" applyFont="1" applyBorder="1" applyAlignment="1">
      <alignment/>
    </xf>
    <xf numFmtId="0" fontId="99" fillId="2" borderId="80" xfId="0" applyFont="1" applyFill="1" applyBorder="1" applyAlignment="1">
      <alignment vertical="center" wrapText="1"/>
    </xf>
    <xf numFmtId="0" fontId="40" fillId="0" borderId="22" xfId="0" applyFont="1" applyBorder="1" applyAlignment="1">
      <alignment horizontal="center" vertical="center"/>
    </xf>
    <xf numFmtId="0" fontId="99" fillId="2" borderId="81" xfId="0" applyFont="1" applyFill="1" applyBorder="1" applyAlignment="1">
      <alignment vertical="center" wrapText="1"/>
    </xf>
    <xf numFmtId="0" fontId="97" fillId="2" borderId="4" xfId="0" applyFont="1" applyFill="1" applyBorder="1" applyAlignment="1">
      <alignment horizontal="center" vertical="center" wrapText="1"/>
    </xf>
    <xf numFmtId="0" fontId="99" fillId="2" borderId="1" xfId="0" applyFont="1" applyFill="1" applyBorder="1" applyAlignment="1">
      <alignment vertical="center" wrapText="1"/>
    </xf>
    <xf numFmtId="0" fontId="99" fillId="2" borderId="4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101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1" fillId="2" borderId="20" xfId="0" applyFont="1" applyFill="1" applyBorder="1" applyAlignment="1">
      <alignment vertical="center" wrapText="1"/>
    </xf>
    <xf numFmtId="0" fontId="99" fillId="2" borderId="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00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6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40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7" borderId="0" xfId="0" applyFill="1" applyAlignment="1">
      <alignment vertical="center"/>
    </xf>
    <xf numFmtId="0" fontId="0" fillId="0" borderId="6" xfId="0" applyBorder="1" applyAlignment="1">
      <alignment vertical="center"/>
    </xf>
    <xf numFmtId="0" fontId="36" fillId="0" borderId="73" xfId="0" applyFont="1" applyBorder="1" applyAlignment="1">
      <alignment horizontal="right" vertical="center"/>
    </xf>
    <xf numFmtId="0" fontId="0" fillId="0" borderId="74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36" fillId="0" borderId="74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36" fillId="0" borderId="32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36" fillId="0" borderId="82" xfId="0" applyFont="1" applyBorder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14" fontId="91" fillId="0" borderId="0" xfId="0" applyNumberFormat="1" applyFont="1" applyAlignment="1">
      <alignment vertical="center"/>
    </xf>
    <xf numFmtId="0" fontId="40" fillId="0" borderId="8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36" fillId="0" borderId="75" xfId="0" applyFont="1" applyBorder="1" applyAlignment="1">
      <alignment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36" fillId="0" borderId="83" xfId="0" applyFont="1" applyBorder="1" applyAlignment="1">
      <alignment vertical="center"/>
    </xf>
    <xf numFmtId="0" fontId="40" fillId="0" borderId="2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/>
    </xf>
    <xf numFmtId="0" fontId="0" fillId="2" borderId="5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40" fillId="0" borderId="5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36" fillId="0" borderId="84" xfId="0" applyFont="1" applyBorder="1" applyAlignment="1">
      <alignment vertical="center"/>
    </xf>
    <xf numFmtId="0" fontId="40" fillId="0" borderId="4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vertical="top"/>
    </xf>
    <xf numFmtId="0" fontId="0" fillId="2" borderId="86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57" fillId="0" borderId="7" xfId="0" applyFont="1" applyBorder="1" applyAlignment="1">
      <alignment horizontal="left"/>
    </xf>
    <xf numFmtId="0" fontId="0" fillId="0" borderId="3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57" fillId="0" borderId="21" xfId="0" applyFont="1" applyBorder="1" applyAlignment="1">
      <alignment horizontal="left"/>
    </xf>
    <xf numFmtId="0" fontId="0" fillId="0" borderId="2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17" borderId="26" xfId="0" applyFill="1" applyBorder="1" applyAlignment="1">
      <alignment vertical="center"/>
    </xf>
    <xf numFmtId="0" fontId="0" fillId="17" borderId="13" xfId="0" applyFill="1" applyBorder="1" applyAlignment="1">
      <alignment vertical="center"/>
    </xf>
    <xf numFmtId="0" fontId="0" fillId="17" borderId="12" xfId="0" applyFill="1" applyBorder="1" applyAlignment="1">
      <alignment vertical="center"/>
    </xf>
    <xf numFmtId="0" fontId="0" fillId="17" borderId="3" xfId="0" applyFill="1" applyBorder="1" applyAlignment="1">
      <alignment vertical="center"/>
    </xf>
    <xf numFmtId="0" fontId="58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8" fillId="0" borderId="5" xfId="0" applyFont="1" applyBorder="1" applyAlignment="1">
      <alignment vertical="center"/>
    </xf>
    <xf numFmtId="0" fontId="100" fillId="0" borderId="0" xfId="0" applyFont="1" applyAlignment="1">
      <alignment vertical="center"/>
    </xf>
    <xf numFmtId="2" fontId="49" fillId="0" borderId="3" xfId="0" applyNumberFormat="1" applyFont="1" applyBorder="1" applyAlignment="1">
      <alignment horizontal="left" vertical="center"/>
    </xf>
    <xf numFmtId="0" fontId="36" fillId="0" borderId="1" xfId="0" applyFont="1" applyBorder="1" applyAlignment="1">
      <alignment horizontal="right"/>
    </xf>
    <xf numFmtId="0" fontId="36" fillId="8" borderId="3" xfId="0" applyFont="1" applyFill="1" applyBorder="1" applyAlignment="1">
      <alignment horizontal="center"/>
    </xf>
    <xf numFmtId="0" fontId="0" fillId="0" borderId="50" xfId="0" applyBorder="1" applyAlignment="1">
      <alignment/>
    </xf>
    <xf numFmtId="166" fontId="0" fillId="0" borderId="0" xfId="0" applyNumberFormat="1" applyAlignment="1">
      <alignment/>
    </xf>
    <xf numFmtId="0" fontId="36" fillId="0" borderId="7" xfId="0" applyFont="1" applyBorder="1" applyAlignment="1">
      <alignment horizontal="right"/>
    </xf>
    <xf numFmtId="0" fontId="36" fillId="18" borderId="2" xfId="0" applyFont="1" applyFill="1" applyBorder="1" applyAlignment="1">
      <alignment horizontal="center"/>
    </xf>
    <xf numFmtId="49" fontId="108" fillId="0" borderId="0" xfId="0" applyNumberFormat="1" applyFont="1" applyFill="1" applyBorder="1" applyAlignment="1">
      <alignment/>
    </xf>
    <xf numFmtId="0" fontId="0" fillId="0" borderId="38" xfId="0" applyBorder="1" applyAlignment="1">
      <alignment/>
    </xf>
    <xf numFmtId="14" fontId="41" fillId="0" borderId="38" xfId="0" applyNumberFormat="1" applyFont="1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Alignment="1">
      <alignment/>
    </xf>
    <xf numFmtId="0" fontId="0" fillId="0" borderId="21" xfId="0" applyBorder="1" applyAlignment="1">
      <alignment vertical="center"/>
    </xf>
    <xf numFmtId="0" fontId="3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36" fillId="0" borderId="73" xfId="0" applyFont="1" applyBorder="1" applyAlignment="1">
      <alignment vertical="center"/>
    </xf>
    <xf numFmtId="49" fontId="11" fillId="0" borderId="87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49" fontId="11" fillId="0" borderId="88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78" xfId="0" applyNumberFormat="1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11" fillId="0" borderId="26" xfId="0" applyFont="1" applyFill="1" applyBorder="1" applyAlignment="1">
      <alignment horizontal="center" wrapText="1"/>
    </xf>
    <xf numFmtId="0" fontId="0" fillId="0" borderId="35" xfId="0" applyFont="1" applyBorder="1" applyAlignment="1">
      <alignment/>
    </xf>
    <xf numFmtId="0" fontId="49" fillId="0" borderId="83" xfId="0" applyFont="1" applyBorder="1" applyAlignment="1">
      <alignment/>
    </xf>
    <xf numFmtId="0" fontId="0" fillId="0" borderId="9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11" fillId="0" borderId="12" xfId="0" applyFont="1" applyFill="1" applyBorder="1" applyAlignment="1">
      <alignment horizontal="center" wrapText="1"/>
    </xf>
    <xf numFmtId="0" fontId="0" fillId="0" borderId="30" xfId="0" applyFont="1" applyBorder="1" applyAlignment="1">
      <alignment/>
    </xf>
    <xf numFmtId="0" fontId="109" fillId="0" borderId="12" xfId="0" applyFont="1" applyFill="1" applyBorder="1" applyAlignment="1">
      <alignment horizontal="center" wrapText="1"/>
    </xf>
    <xf numFmtId="0" fontId="111" fillId="2" borderId="12" xfId="0" applyFont="1" applyFill="1" applyBorder="1" applyAlignment="1">
      <alignment horizontal="center" wrapText="1"/>
    </xf>
    <xf numFmtId="0" fontId="114" fillId="0" borderId="83" xfId="0" applyFont="1" applyBorder="1" applyAlignment="1">
      <alignment/>
    </xf>
    <xf numFmtId="0" fontId="90" fillId="0" borderId="30" xfId="0" applyFont="1" applyBorder="1" applyAlignment="1">
      <alignment/>
    </xf>
    <xf numFmtId="0" fontId="11" fillId="2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/>
    </xf>
    <xf numFmtId="0" fontId="11" fillId="0" borderId="33" xfId="0" applyFont="1" applyBorder="1" applyAlignment="1">
      <alignment horizontal="center" wrapText="1"/>
    </xf>
    <xf numFmtId="0" fontId="0" fillId="0" borderId="28" xfId="0" applyFont="1" applyBorder="1" applyAlignment="1">
      <alignment horizontal="left" vertical="center"/>
    </xf>
    <xf numFmtId="0" fontId="111" fillId="0" borderId="13" xfId="0" applyFont="1" applyFill="1" applyBorder="1" applyAlignment="1">
      <alignment horizontal="center" wrapText="1"/>
    </xf>
    <xf numFmtId="0" fontId="90" fillId="0" borderId="34" xfId="0" applyFont="1" applyBorder="1" applyAlignment="1">
      <alignment/>
    </xf>
    <xf numFmtId="0" fontId="0" fillId="0" borderId="89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5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90" xfId="0" applyFont="1" applyFill="1" applyBorder="1" applyAlignment="1">
      <alignment/>
    </xf>
    <xf numFmtId="0" fontId="0" fillId="0" borderId="60" xfId="0" applyBorder="1" applyAlignment="1">
      <alignment vertical="center"/>
    </xf>
    <xf numFmtId="0" fontId="0" fillId="0" borderId="91" xfId="0" applyFont="1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vertical="center"/>
    </xf>
    <xf numFmtId="0" fontId="40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100" fillId="3" borderId="76" xfId="0" applyFont="1" applyFill="1" applyBorder="1" applyAlignment="1">
      <alignment vertical="center"/>
    </xf>
    <xf numFmtId="0" fontId="100" fillId="3" borderId="95" xfId="0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1" fillId="3" borderId="2" xfId="0" applyFont="1" applyFill="1" applyBorder="1" applyAlignment="1">
      <alignment vertical="center"/>
    </xf>
    <xf numFmtId="0" fontId="41" fillId="3" borderId="28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3" borderId="93" xfId="0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94" xfId="0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58" fillId="3" borderId="76" xfId="0" applyFont="1" applyFill="1" applyBorder="1" applyAlignment="1">
      <alignment vertical="center"/>
    </xf>
    <xf numFmtId="0" fontId="58" fillId="3" borderId="95" xfId="0" applyFont="1" applyFill="1" applyBorder="1" applyAlignment="1">
      <alignment vertical="center"/>
    </xf>
    <xf numFmtId="0" fontId="58" fillId="3" borderId="95" xfId="0" applyFont="1" applyFill="1" applyBorder="1" applyAlignment="1">
      <alignment horizontal="center" vertical="center"/>
    </xf>
    <xf numFmtId="0" fontId="58" fillId="3" borderId="30" xfId="0" applyFont="1" applyFill="1" applyBorder="1" applyAlignment="1">
      <alignment horizontal="center" vertical="center"/>
    </xf>
    <xf numFmtId="0" fontId="58" fillId="3" borderId="76" xfId="0" applyFont="1" applyFill="1" applyBorder="1" applyAlignment="1">
      <alignment horizontal="center" vertical="center"/>
    </xf>
    <xf numFmtId="0" fontId="40" fillId="0" borderId="96" xfId="0" applyFont="1" applyBorder="1" applyAlignment="1">
      <alignment/>
    </xf>
    <xf numFmtId="0" fontId="40" fillId="0" borderId="82" xfId="0" applyFont="1" applyBorder="1" applyAlignment="1">
      <alignment/>
    </xf>
    <xf numFmtId="0" fontId="40" fillId="0" borderId="6" xfId="0" applyFont="1" applyBorder="1" applyAlignment="1">
      <alignment/>
    </xf>
    <xf numFmtId="0" fontId="40" fillId="0" borderId="75" xfId="0" applyFont="1" applyBorder="1" applyAlignment="1">
      <alignment/>
    </xf>
    <xf numFmtId="0" fontId="40" fillId="0" borderId="83" xfId="0" applyFont="1" applyBorder="1" applyAlignment="1">
      <alignment/>
    </xf>
    <xf numFmtId="0" fontId="40" fillId="0" borderId="84" xfId="0" applyFont="1" applyBorder="1" applyAlignment="1">
      <alignment/>
    </xf>
    <xf numFmtId="0" fontId="58" fillId="0" borderId="0" xfId="0" applyFont="1" applyAlignment="1">
      <alignment/>
    </xf>
    <xf numFmtId="0" fontId="116" fillId="0" borderId="83" xfId="0" applyFont="1" applyBorder="1" applyAlignment="1">
      <alignment/>
    </xf>
    <xf numFmtId="0" fontId="58" fillId="3" borderId="75" xfId="0" applyFont="1" applyFill="1" applyBorder="1" applyAlignment="1">
      <alignment horizontal="center" vertical="center"/>
    </xf>
    <xf numFmtId="0" fontId="58" fillId="3" borderId="35" xfId="0" applyFont="1" applyFill="1" applyBorder="1" applyAlignment="1">
      <alignment horizontal="center" vertical="center"/>
    </xf>
    <xf numFmtId="0" fontId="58" fillId="3" borderId="97" xfId="0" applyFont="1" applyFill="1" applyBorder="1" applyAlignment="1">
      <alignment horizontal="center" vertical="center"/>
    </xf>
    <xf numFmtId="0" fontId="58" fillId="3" borderId="77" xfId="0" applyFont="1" applyFill="1" applyBorder="1" applyAlignment="1">
      <alignment horizontal="center" vertical="center"/>
    </xf>
    <xf numFmtId="0" fontId="58" fillId="3" borderId="34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97" xfId="0" applyFont="1" applyFill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14" borderId="33" xfId="0" applyFont="1" applyFill="1" applyBorder="1" applyAlignment="1">
      <alignment vertical="center"/>
    </xf>
    <xf numFmtId="0" fontId="58" fillId="0" borderId="97" xfId="0" applyFont="1" applyBorder="1" applyAlignment="1">
      <alignment horizontal="center" vertical="center"/>
    </xf>
    <xf numFmtId="0" fontId="58" fillId="0" borderId="97" xfId="0" applyFont="1" applyBorder="1" applyAlignment="1">
      <alignment vertical="center"/>
    </xf>
    <xf numFmtId="0" fontId="58" fillId="0" borderId="57" xfId="0" applyFont="1" applyFill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58" fillId="0" borderId="57" xfId="0" applyFont="1" applyBorder="1" applyAlignment="1">
      <alignment vertical="center"/>
    </xf>
    <xf numFmtId="0" fontId="58" fillId="0" borderId="2" xfId="0" applyFont="1" applyFill="1" applyBorder="1" applyAlignment="1">
      <alignment vertical="center"/>
    </xf>
    <xf numFmtId="0" fontId="58" fillId="0" borderId="28" xfId="0" applyFont="1" applyFill="1" applyBorder="1" applyAlignment="1">
      <alignment vertical="center"/>
    </xf>
    <xf numFmtId="0" fontId="58" fillId="0" borderId="4" xfId="0" applyFont="1" applyFill="1" applyBorder="1" applyAlignment="1">
      <alignment vertical="center"/>
    </xf>
    <xf numFmtId="0" fontId="106" fillId="0" borderId="6" xfId="0" applyFont="1" applyBorder="1" applyAlignment="1">
      <alignment horizontal="center" vertical="center" wrapText="1"/>
    </xf>
    <xf numFmtId="0" fontId="106" fillId="0" borderId="5" xfId="0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 quotePrefix="1">
      <alignment horizontal="left" vertical="center" wrapText="1"/>
    </xf>
    <xf numFmtId="0" fontId="117" fillId="0" borderId="6" xfId="0" applyFont="1" applyBorder="1" applyAlignment="1">
      <alignment horizontal="center" vertical="center" wrapText="1"/>
    </xf>
    <xf numFmtId="0" fontId="117" fillId="0" borderId="5" xfId="0" applyFont="1" applyBorder="1" applyAlignment="1">
      <alignment horizontal="center" vertical="center" wrapText="1"/>
    </xf>
    <xf numFmtId="0" fontId="117" fillId="0" borderId="3" xfId="0" applyFont="1" applyBorder="1" applyAlignment="1">
      <alignment horizontal="center" vertical="center" wrapText="1"/>
    </xf>
    <xf numFmtId="0" fontId="106" fillId="0" borderId="3" xfId="0" applyFont="1" applyBorder="1" applyAlignment="1">
      <alignment horizontal="center" vertical="center" wrapText="1"/>
    </xf>
    <xf numFmtId="0" fontId="58" fillId="3" borderId="98" xfId="0" applyFont="1" applyFill="1" applyBorder="1" applyAlignment="1">
      <alignment horizontal="center" vertical="center"/>
    </xf>
    <xf numFmtId="0" fontId="118" fillId="3" borderId="35" xfId="0" applyFont="1" applyFill="1" applyBorder="1" applyAlignment="1">
      <alignment horizontal="center" vertical="center"/>
    </xf>
    <xf numFmtId="0" fontId="58" fillId="3" borderId="73" xfId="0" applyFont="1" applyFill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3" borderId="74" xfId="0" applyFont="1" applyFill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118" fillId="3" borderId="30" xfId="0" applyFont="1" applyFill="1" applyBorder="1" applyAlignment="1">
      <alignment horizontal="center" vertical="center"/>
    </xf>
    <xf numFmtId="0" fontId="58" fillId="3" borderId="57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3" borderId="12" xfId="0" applyFont="1" applyFill="1" applyBorder="1" applyAlignment="1">
      <alignment horizontal="center" vertical="center"/>
    </xf>
    <xf numFmtId="0" fontId="118" fillId="3" borderId="34" xfId="0" applyFont="1" applyFill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3" borderId="99" xfId="0" applyFont="1" applyFill="1" applyBorder="1" applyAlignment="1">
      <alignment horizontal="center" vertical="center"/>
    </xf>
    <xf numFmtId="0" fontId="36" fillId="8" borderId="6" xfId="0" applyFont="1" applyFill="1" applyBorder="1" applyAlignment="1">
      <alignment horizontal="center" vertical="center"/>
    </xf>
    <xf numFmtId="0" fontId="72" fillId="2" borderId="4" xfId="0" applyFont="1" applyFill="1" applyBorder="1" applyAlignment="1">
      <alignment horizontal="right" vertical="top" wrapText="1"/>
    </xf>
    <xf numFmtId="0" fontId="69" fillId="2" borderId="100" xfId="0" applyFont="1" applyFill="1" applyBorder="1" applyAlignment="1">
      <alignment horizontal="right" vertical="top" wrapText="1"/>
    </xf>
    <xf numFmtId="14" fontId="0" fillId="0" borderId="101" xfId="0" applyNumberFormat="1" applyBorder="1" applyAlignment="1">
      <alignment/>
    </xf>
    <xf numFmtId="0" fontId="58" fillId="0" borderId="102" xfId="0" applyFont="1" applyBorder="1" applyAlignment="1">
      <alignment/>
    </xf>
    <xf numFmtId="0" fontId="58" fillId="0" borderId="103" xfId="0" applyFont="1" applyBorder="1" applyAlignment="1">
      <alignment/>
    </xf>
    <xf numFmtId="0" fontId="41" fillId="8" borderId="5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41" fillId="8" borderId="38" xfId="0" applyFont="1" applyFill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 wrapText="1"/>
    </xf>
    <xf numFmtId="0" fontId="58" fillId="2" borderId="79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41" fillId="0" borderId="101" xfId="0" applyFont="1" applyBorder="1" applyAlignment="1">
      <alignment horizontal="center" vertical="center"/>
    </xf>
    <xf numFmtId="0" fontId="41" fillId="0" borderId="102" xfId="0" applyFont="1" applyBorder="1" applyAlignment="1">
      <alignment horizontal="center" vertical="center"/>
    </xf>
    <xf numFmtId="0" fontId="41" fillId="0" borderId="103" xfId="0" applyFont="1" applyBorder="1" applyAlignment="1">
      <alignment horizontal="center" vertical="center"/>
    </xf>
    <xf numFmtId="0" fontId="41" fillId="8" borderId="101" xfId="0" applyFont="1" applyFill="1" applyBorder="1" applyAlignment="1">
      <alignment horizontal="center" vertical="center"/>
    </xf>
    <xf numFmtId="0" fontId="41" fillId="8" borderId="102" xfId="0" applyFont="1" applyFill="1" applyBorder="1" applyAlignment="1">
      <alignment horizontal="center" vertical="center"/>
    </xf>
    <xf numFmtId="0" fontId="41" fillId="8" borderId="103" xfId="0" applyFont="1" applyFill="1" applyBorder="1" applyAlignment="1">
      <alignment horizontal="center" vertical="center"/>
    </xf>
    <xf numFmtId="0" fontId="0" fillId="19" borderId="29" xfId="0" applyFill="1" applyBorder="1" applyAlignment="1">
      <alignment/>
    </xf>
    <xf numFmtId="0" fontId="0" fillId="20" borderId="24" xfId="0" applyFill="1" applyBorder="1" applyAlignment="1">
      <alignment/>
    </xf>
    <xf numFmtId="0" fontId="41" fillId="15" borderId="103" xfId="0" applyFont="1" applyFill="1" applyBorder="1" applyAlignment="1">
      <alignment horizontal="center" vertical="center"/>
    </xf>
    <xf numFmtId="0" fontId="0" fillId="0" borderId="104" xfId="0" applyFont="1" applyBorder="1" applyAlignment="1">
      <alignment vertical="center"/>
    </xf>
    <xf numFmtId="0" fontId="40" fillId="0" borderId="101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58" fillId="0" borderId="100" xfId="0" applyFont="1" applyFill="1" applyBorder="1" applyAlignment="1">
      <alignment vertical="center"/>
    </xf>
    <xf numFmtId="0" fontId="0" fillId="0" borderId="0" xfId="0" applyFill="1" applyAlignment="1" quotePrefix="1">
      <alignment/>
    </xf>
    <xf numFmtId="17" fontId="2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1" fillId="0" borderId="100" xfId="0" applyFont="1" applyBorder="1" applyAlignment="1">
      <alignment horizontal="center" vertical="center"/>
    </xf>
    <xf numFmtId="0" fontId="47" fillId="9" borderId="105" xfId="0" applyFont="1" applyFill="1" applyBorder="1" applyAlignment="1">
      <alignment horizontal="left"/>
    </xf>
    <xf numFmtId="0" fontId="47" fillId="9" borderId="106" xfId="0" applyFont="1" applyFill="1" applyBorder="1" applyAlignment="1">
      <alignment horizontal="left"/>
    </xf>
    <xf numFmtId="0" fontId="47" fillId="9" borderId="107" xfId="0" applyFont="1" applyFill="1" applyBorder="1" applyAlignment="1">
      <alignment horizontal="left"/>
    </xf>
    <xf numFmtId="0" fontId="85" fillId="6" borderId="29" xfId="0" applyFont="1" applyFill="1" applyBorder="1" applyAlignment="1">
      <alignment horizontal="center" vertical="center" wrapText="1"/>
    </xf>
    <xf numFmtId="0" fontId="53" fillId="3" borderId="108" xfId="0" applyFont="1" applyFill="1" applyBorder="1" applyAlignment="1">
      <alignment horizontal="center" vertical="center"/>
    </xf>
    <xf numFmtId="0" fontId="96" fillId="13" borderId="0" xfId="0" applyFont="1" applyFill="1" applyBorder="1" applyAlignment="1">
      <alignment horizontal="right" vertical="center"/>
    </xf>
    <xf numFmtId="0" fontId="120" fillId="21" borderId="0" xfId="0" applyFont="1" applyFill="1" applyBorder="1" applyAlignment="1">
      <alignment horizontal="center" vertical="center"/>
    </xf>
    <xf numFmtId="0" fontId="48" fillId="6" borderId="109" xfId="0" applyFont="1" applyFill="1" applyBorder="1" applyAlignment="1">
      <alignment/>
    </xf>
    <xf numFmtId="0" fontId="53" fillId="3" borderId="110" xfId="0" applyFont="1" applyFill="1" applyBorder="1" applyAlignment="1">
      <alignment horizontal="center" vertical="center"/>
    </xf>
    <xf numFmtId="0" fontId="0" fillId="22" borderId="0" xfId="0" applyFill="1" applyBorder="1" applyAlignment="1">
      <alignment vertical="center"/>
    </xf>
    <xf numFmtId="0" fontId="120" fillId="23" borderId="0" xfId="0" applyFont="1" applyFill="1" applyBorder="1" applyAlignment="1">
      <alignment horizontal="center" vertical="center"/>
    </xf>
    <xf numFmtId="0" fontId="121" fillId="24" borderId="0" xfId="0" applyFont="1" applyFill="1" applyBorder="1" applyAlignment="1">
      <alignment horizontal="right" vertical="center"/>
    </xf>
    <xf numFmtId="0" fontId="50" fillId="0" borderId="0" xfId="0" applyFont="1" applyAlignment="1">
      <alignment/>
    </xf>
    <xf numFmtId="0" fontId="41" fillId="25" borderId="0" xfId="0" applyFont="1" applyFill="1" applyAlignment="1">
      <alignment/>
    </xf>
    <xf numFmtId="0" fontId="0" fillId="25" borderId="0" xfId="0" applyFill="1" applyAlignment="1">
      <alignment/>
    </xf>
    <xf numFmtId="0" fontId="41" fillId="0" borderId="20" xfId="0" applyFont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41" fillId="15" borderId="5" xfId="0" applyFont="1" applyFill="1" applyBorder="1" applyAlignment="1">
      <alignment horizontal="center" vertical="center"/>
    </xf>
    <xf numFmtId="0" fontId="41" fillId="0" borderId="111" xfId="0" applyFont="1" applyBorder="1" applyAlignment="1">
      <alignment vertical="center" wrapText="1"/>
    </xf>
    <xf numFmtId="0" fontId="41" fillId="16" borderId="10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100" fillId="0" borderId="100" xfId="0" applyFont="1" applyBorder="1" applyAlignment="1">
      <alignment vertical="center"/>
    </xf>
    <xf numFmtId="14" fontId="100" fillId="0" borderId="0" xfId="0" applyNumberFormat="1" applyFont="1" applyAlignment="1">
      <alignment vertical="center"/>
    </xf>
    <xf numFmtId="0" fontId="95" fillId="0" borderId="6" xfId="0" applyFont="1" applyFill="1" applyBorder="1" applyAlignment="1">
      <alignment horizontal="center" vertical="center" wrapText="1"/>
    </xf>
    <xf numFmtId="0" fontId="15" fillId="7" borderId="22" xfId="15" applyNumberFormat="1" applyFont="1" applyFill="1" applyBorder="1" applyAlignment="1" applyProtection="1">
      <alignment vertical="center"/>
      <protection/>
    </xf>
    <xf numFmtId="0" fontId="49" fillId="7" borderId="20" xfId="0" applyFont="1" applyFill="1" applyBorder="1" applyAlignment="1">
      <alignment horizontal="center" vertical="center"/>
    </xf>
    <xf numFmtId="0" fontId="53" fillId="2" borderId="8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right" vertical="center"/>
    </xf>
    <xf numFmtId="0" fontId="47" fillId="9" borderId="112" xfId="0" applyFont="1" applyFill="1" applyBorder="1" applyAlignment="1">
      <alignment horizontal="left" vertical="center"/>
    </xf>
    <xf numFmtId="0" fontId="47" fillId="9" borderId="113" xfId="0" applyFont="1" applyFill="1" applyBorder="1" applyAlignment="1">
      <alignment horizontal="left" vertical="center"/>
    </xf>
    <xf numFmtId="0" fontId="52" fillId="7" borderId="114" xfId="0" applyFont="1" applyFill="1" applyBorder="1" applyAlignment="1">
      <alignment horizontal="right" vertical="center" wrapText="1"/>
    </xf>
    <xf numFmtId="0" fontId="52" fillId="7" borderId="115" xfId="0" applyFont="1" applyFill="1" applyBorder="1" applyAlignment="1">
      <alignment horizontal="left" vertical="center" wrapText="1"/>
    </xf>
    <xf numFmtId="0" fontId="41" fillId="7" borderId="116" xfId="0" applyFont="1" applyFill="1" applyBorder="1" applyAlignment="1">
      <alignment horizontal="center" vertical="center" wrapText="1"/>
    </xf>
    <xf numFmtId="0" fontId="15" fillId="2" borderId="117" xfId="15" applyNumberFormat="1" applyFill="1" applyBorder="1" applyAlignment="1" applyProtection="1">
      <alignment horizontal="center" vertical="center" wrapText="1"/>
      <protection/>
    </xf>
    <xf numFmtId="0" fontId="41" fillId="7" borderId="114" xfId="0" applyFont="1" applyFill="1" applyBorder="1" applyAlignment="1">
      <alignment horizontal="center" vertical="top" wrapText="1"/>
    </xf>
    <xf numFmtId="0" fontId="57" fillId="2" borderId="115" xfId="0" applyFont="1" applyFill="1" applyBorder="1" applyAlignment="1">
      <alignment horizontal="center" vertical="top" wrapText="1"/>
    </xf>
    <xf numFmtId="0" fontId="41" fillId="7" borderId="118" xfId="0" applyFont="1" applyFill="1" applyBorder="1" applyAlignment="1">
      <alignment horizontal="center" vertical="center" wrapText="1"/>
    </xf>
    <xf numFmtId="0" fontId="15" fillId="2" borderId="119" xfId="15" applyNumberFormat="1" applyFill="1" applyBorder="1" applyAlignment="1" applyProtection="1">
      <alignment horizontal="center" vertical="center" wrapText="1"/>
      <protection/>
    </xf>
    <xf numFmtId="0" fontId="41" fillId="2" borderId="120" xfId="0" applyFont="1" applyFill="1" applyBorder="1" applyAlignment="1">
      <alignment horizontal="center" vertical="center" wrapText="1"/>
    </xf>
    <xf numFmtId="0" fontId="57" fillId="7" borderId="119" xfId="0" applyFont="1" applyFill="1" applyBorder="1" applyAlignment="1">
      <alignment horizontal="center" vertical="center" wrapText="1"/>
    </xf>
    <xf numFmtId="0" fontId="58" fillId="2" borderId="118" xfId="0" applyFont="1" applyFill="1" applyBorder="1" applyAlignment="1">
      <alignment/>
    </xf>
    <xf numFmtId="0" fontId="40" fillId="2" borderId="119" xfId="0" applyFont="1" applyFill="1" applyBorder="1" applyAlignment="1">
      <alignment horizontal="left" vertical="center" wrapText="1"/>
    </xf>
    <xf numFmtId="0" fontId="59" fillId="2" borderId="118" xfId="0" applyFont="1" applyFill="1" applyBorder="1" applyAlignment="1">
      <alignment horizontal="center"/>
    </xf>
    <xf numFmtId="0" fontId="57" fillId="2" borderId="117" xfId="0" applyFont="1" applyFill="1" applyBorder="1" applyAlignment="1">
      <alignment horizontal="center" vertical="center" wrapText="1"/>
    </xf>
    <xf numFmtId="0" fontId="57" fillId="7" borderId="118" xfId="0" applyFont="1" applyFill="1" applyBorder="1" applyAlignment="1">
      <alignment horizontal="center" vertical="center" wrapText="1"/>
    </xf>
    <xf numFmtId="0" fontId="60" fillId="7" borderId="119" xfId="0" applyFont="1" applyFill="1" applyBorder="1" applyAlignment="1">
      <alignment horizontal="center" vertical="center" wrapText="1"/>
    </xf>
    <xf numFmtId="0" fontId="41" fillId="0" borderId="118" xfId="0" applyFont="1" applyFill="1" applyBorder="1" applyAlignment="1">
      <alignment horizontal="center" vertical="center" wrapText="1"/>
    </xf>
    <xf numFmtId="0" fontId="41" fillId="2" borderId="119" xfId="0" applyFont="1" applyFill="1" applyBorder="1" applyAlignment="1">
      <alignment horizontal="center" vertical="center" wrapText="1"/>
    </xf>
    <xf numFmtId="0" fontId="36" fillId="7" borderId="118" xfId="0" applyFont="1" applyFill="1" applyBorder="1" applyAlignment="1">
      <alignment horizontal="center" vertical="center" wrapText="1"/>
    </xf>
    <xf numFmtId="0" fontId="36" fillId="7" borderId="119" xfId="0" applyFont="1" applyFill="1" applyBorder="1" applyAlignment="1">
      <alignment horizontal="center" vertical="center" wrapText="1"/>
    </xf>
    <xf numFmtId="0" fontId="0" fillId="2" borderId="106" xfId="0" applyFill="1" applyBorder="1" applyAlignment="1">
      <alignment/>
    </xf>
    <xf numFmtId="0" fontId="0" fillId="2" borderId="121" xfId="0" applyFill="1" applyBorder="1" applyAlignment="1">
      <alignment/>
    </xf>
    <xf numFmtId="0" fontId="58" fillId="0" borderId="118" xfId="0" applyFont="1" applyFill="1" applyBorder="1" applyAlignment="1">
      <alignment/>
    </xf>
    <xf numFmtId="0" fontId="52" fillId="2" borderId="119" xfId="0" applyFont="1" applyFill="1" applyBorder="1" applyAlignment="1">
      <alignment horizontal="left" vertical="center" wrapText="1"/>
    </xf>
    <xf numFmtId="0" fontId="41" fillId="0" borderId="119" xfId="0" applyFont="1" applyBorder="1" applyAlignment="1">
      <alignment horizontal="center" vertical="center" wrapText="1"/>
    </xf>
    <xf numFmtId="0" fontId="52" fillId="0" borderId="122" xfId="0" applyFont="1" applyFill="1" applyBorder="1" applyAlignment="1">
      <alignment horizontal="right" vertical="top"/>
    </xf>
    <xf numFmtId="9" fontId="41" fillId="3" borderId="123" xfId="0" applyNumberFormat="1" applyFont="1" applyFill="1" applyBorder="1" applyAlignment="1">
      <alignment horizontal="center" vertical="center" wrapText="1"/>
    </xf>
    <xf numFmtId="0" fontId="41" fillId="7" borderId="124" xfId="0" applyFont="1" applyFill="1" applyBorder="1" applyAlignment="1">
      <alignment horizontal="center" vertical="center" wrapText="1"/>
    </xf>
    <xf numFmtId="0" fontId="41" fillId="0" borderId="125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40" fillId="7" borderId="118" xfId="0" applyFont="1" applyFill="1" applyBorder="1" applyAlignment="1">
      <alignment horizontal="right" vertical="center" wrapText="1"/>
    </xf>
    <xf numFmtId="0" fontId="40" fillId="7" borderId="119" xfId="0" applyFont="1" applyFill="1" applyBorder="1" applyAlignment="1">
      <alignment horizontal="left" vertical="center" wrapText="1"/>
    </xf>
    <xf numFmtId="0" fontId="49" fillId="2" borderId="118" xfId="0" applyFont="1" applyFill="1" applyBorder="1" applyAlignment="1">
      <alignment/>
    </xf>
    <xf numFmtId="0" fontId="0" fillId="0" borderId="118" xfId="0" applyFill="1" applyBorder="1" applyAlignment="1">
      <alignment/>
    </xf>
    <xf numFmtId="0" fontId="49" fillId="2" borderId="123" xfId="0" applyFont="1" applyFill="1" applyBorder="1" applyAlignment="1">
      <alignment/>
    </xf>
    <xf numFmtId="0" fontId="52" fillId="0" borderId="118" xfId="0" applyFont="1" applyFill="1" applyBorder="1" applyAlignment="1">
      <alignment horizontal="right"/>
    </xf>
    <xf numFmtId="0" fontId="0" fillId="7" borderId="6" xfId="0" applyFill="1" applyBorder="1" applyAlignment="1">
      <alignment vertical="center"/>
    </xf>
    <xf numFmtId="0" fontId="52" fillId="0" borderId="8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15" borderId="9" xfId="0" applyFont="1" applyFill="1" applyBorder="1" applyAlignment="1">
      <alignment horizontal="center" vertical="center"/>
    </xf>
    <xf numFmtId="0" fontId="47" fillId="9" borderId="112" xfId="0" applyFont="1" applyFill="1" applyBorder="1" applyAlignment="1">
      <alignment horizontal="left"/>
    </xf>
    <xf numFmtId="0" fontId="47" fillId="9" borderId="113" xfId="0" applyFont="1" applyFill="1" applyBorder="1" applyAlignment="1">
      <alignment horizontal="left"/>
    </xf>
    <xf numFmtId="0" fontId="36" fillId="2" borderId="121" xfId="0" applyFont="1" applyFill="1" applyBorder="1" applyAlignment="1">
      <alignment horizontal="center"/>
    </xf>
    <xf numFmtId="0" fontId="0" fillId="2" borderId="118" xfId="0" applyFill="1" applyBorder="1" applyAlignment="1">
      <alignment/>
    </xf>
    <xf numFmtId="0" fontId="52" fillId="2" borderId="118" xfId="0" applyFont="1" applyFill="1" applyBorder="1" applyAlignment="1">
      <alignment horizontal="right" vertical="center" wrapText="1"/>
    </xf>
    <xf numFmtId="0" fontId="40" fillId="7" borderId="115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52" fillId="0" borderId="126" xfId="0" applyFont="1" applyFill="1" applyBorder="1" applyAlignment="1">
      <alignment horizontal="center" vertical="center"/>
    </xf>
    <xf numFmtId="0" fontId="52" fillId="0" borderId="127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52" fillId="0" borderId="104" xfId="0" applyFont="1" applyFill="1" applyBorder="1" applyAlignment="1">
      <alignment horizontal="center" vertical="center"/>
    </xf>
    <xf numFmtId="0" fontId="41" fillId="7" borderId="106" xfId="0" applyFont="1" applyFill="1" applyBorder="1" applyAlignment="1">
      <alignment horizontal="center" vertical="top" wrapText="1"/>
    </xf>
    <xf numFmtId="0" fontId="57" fillId="2" borderId="121" xfId="0" applyFont="1" applyFill="1" applyBorder="1" applyAlignment="1">
      <alignment horizontal="center" vertical="top" wrapText="1"/>
    </xf>
    <xf numFmtId="0" fontId="47" fillId="9" borderId="128" xfId="0" applyFont="1" applyFill="1" applyBorder="1" applyAlignment="1">
      <alignment horizontal="left"/>
    </xf>
    <xf numFmtId="0" fontId="47" fillId="9" borderId="121" xfId="0" applyFont="1" applyFill="1" applyBorder="1" applyAlignment="1">
      <alignment horizontal="left"/>
    </xf>
    <xf numFmtId="0" fontId="47" fillId="9" borderId="129" xfId="0" applyFont="1" applyFill="1" applyBorder="1" applyAlignment="1">
      <alignment horizontal="left"/>
    </xf>
    <xf numFmtId="0" fontId="0" fillId="2" borderId="114" xfId="0" applyFill="1" applyBorder="1" applyAlignment="1">
      <alignment/>
    </xf>
    <xf numFmtId="0" fontId="40" fillId="2" borderId="115" xfId="0" applyFont="1" applyFill="1" applyBorder="1" applyAlignment="1">
      <alignment horizontal="left" vertical="center" wrapText="1"/>
    </xf>
    <xf numFmtId="164" fontId="41" fillId="3" borderId="123" xfId="0" applyNumberFormat="1" applyFont="1" applyFill="1" applyBorder="1" applyAlignment="1">
      <alignment horizontal="center" vertical="center" wrapText="1"/>
    </xf>
    <xf numFmtId="0" fontId="124" fillId="2" borderId="3" xfId="0" applyFont="1" applyFill="1" applyBorder="1" applyAlignment="1">
      <alignment vertical="center" wrapText="1"/>
    </xf>
    <xf numFmtId="0" fontId="12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6" fillId="0" borderId="100" xfId="0" applyFont="1" applyBorder="1" applyAlignment="1">
      <alignment horizontal="center" vertical="center" wrapText="1"/>
    </xf>
    <xf numFmtId="0" fontId="0" fillId="26" borderId="30" xfId="0" applyFill="1" applyBorder="1" applyAlignment="1">
      <alignment horizontal="center" vertical="center"/>
    </xf>
    <xf numFmtId="0" fontId="0" fillId="26" borderId="34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14" fontId="41" fillId="0" borderId="0" xfId="0" applyNumberFormat="1" applyFont="1" applyAlignment="1">
      <alignment vertical="center"/>
    </xf>
    <xf numFmtId="0" fontId="100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14" fontId="41" fillId="0" borderId="0" xfId="0" applyNumberFormat="1" applyFont="1" applyAlignment="1">
      <alignment/>
    </xf>
    <xf numFmtId="0" fontId="32" fillId="15" borderId="130" xfId="0" applyFont="1" applyFill="1" applyBorder="1" applyAlignment="1">
      <alignment horizontal="center" vertical="center" wrapText="1"/>
    </xf>
    <xf numFmtId="0" fontId="35" fillId="0" borderId="0" xfId="15" applyNumberFormat="1" applyFont="1" applyFill="1" applyBorder="1" applyAlignment="1" applyProtection="1">
      <alignment vertical="center"/>
      <protection/>
    </xf>
    <xf numFmtId="0" fontId="5" fillId="15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4" fillId="15" borderId="3" xfId="0" applyFont="1" applyFill="1" applyBorder="1" applyAlignment="1">
      <alignment horizontal="center" vertical="center" wrapText="1"/>
    </xf>
    <xf numFmtId="0" fontId="24" fillId="15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3" fillId="2" borderId="13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infogas.ru" TargetMode="External" /><Relationship Id="rId2" Type="http://schemas.openxmlformats.org/officeDocument/2006/relationships/hyperlink" Target="http://www.infogas.ru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2"/>
  <sheetViews>
    <sheetView workbookViewId="0" topLeftCell="A1">
      <pane ySplit="1" topLeftCell="BM341" activePane="bottomLeft" state="frozen"/>
      <selection pane="topLeft" activeCell="A1" sqref="A1"/>
      <selection pane="bottomLeft" activeCell="R356" sqref="R356"/>
    </sheetView>
  </sheetViews>
  <sheetFormatPr defaultColWidth="9.00390625" defaultRowHeight="12.75"/>
  <cols>
    <col min="1" max="1" width="4.00390625" style="1" customWidth="1"/>
    <col min="2" max="2" width="32.75390625" style="1" customWidth="1"/>
    <col min="3" max="3" width="8.75390625" style="1" customWidth="1"/>
    <col min="4" max="4" width="11.75390625" style="1" customWidth="1"/>
    <col min="5" max="5" width="14.375" style="2" customWidth="1"/>
    <col min="6" max="6" width="9.625" style="933" customWidth="1"/>
    <col min="7" max="7" width="9.875" style="1" customWidth="1"/>
    <col min="8" max="8" width="10.00390625" style="1" customWidth="1"/>
    <col min="9" max="9" width="10.875" style="3" customWidth="1"/>
    <col min="10" max="16" width="0" style="3" hidden="1" customWidth="1"/>
    <col min="17" max="16384" width="8.875" style="3" customWidth="1"/>
  </cols>
  <sheetData>
    <row r="1" spans="1:9" ht="28.5" customHeight="1" thickBot="1">
      <c r="A1" s="4"/>
      <c r="B1" s="5" t="s">
        <v>0</v>
      </c>
      <c r="C1" s="6" t="s">
        <v>1</v>
      </c>
      <c r="D1" s="7" t="s">
        <v>2</v>
      </c>
      <c r="E1" s="7" t="s">
        <v>3</v>
      </c>
      <c r="F1" s="932"/>
      <c r="G1" s="3"/>
      <c r="H1" s="3"/>
      <c r="I1" s="8"/>
    </row>
    <row r="2" spans="1:9" ht="54" customHeight="1" hidden="1" thickBot="1">
      <c r="A2" s="930" t="s">
        <v>4</v>
      </c>
      <c r="B2" s="930"/>
      <c r="C2" s="930"/>
      <c r="D2" s="930"/>
      <c r="E2" s="9" t="s">
        <v>5</v>
      </c>
      <c r="F2" s="929" t="s">
        <v>6</v>
      </c>
      <c r="G2" s="929"/>
      <c r="H2" s="929"/>
      <c r="I2" s="8"/>
    </row>
    <row r="3" spans="1:8" ht="24.75" customHeight="1" hidden="1" thickBot="1">
      <c r="A3" s="10" t="s">
        <v>7</v>
      </c>
      <c r="B3" s="922" t="s">
        <v>0</v>
      </c>
      <c r="C3" s="923" t="s">
        <v>1</v>
      </c>
      <c r="D3" s="923" t="s">
        <v>2</v>
      </c>
      <c r="E3" s="923" t="s">
        <v>3</v>
      </c>
      <c r="F3" s="920" t="s">
        <v>8</v>
      </c>
      <c r="G3" s="920"/>
      <c r="H3" s="920"/>
    </row>
    <row r="4" spans="1:8" ht="13.5" hidden="1" thickBot="1">
      <c r="A4" s="12"/>
      <c r="B4" s="922"/>
      <c r="C4" s="923" t="s">
        <v>9</v>
      </c>
      <c r="D4" s="923"/>
      <c r="E4" s="923"/>
      <c r="F4" s="13" t="s">
        <v>10</v>
      </c>
      <c r="G4" s="14" t="s">
        <v>11</v>
      </c>
      <c r="H4" s="15" t="s">
        <v>12</v>
      </c>
    </row>
    <row r="5" spans="1:8" ht="26.25" hidden="1" thickBot="1">
      <c r="A5" s="16">
        <v>1</v>
      </c>
      <c r="B5" s="17" t="s">
        <v>13</v>
      </c>
      <c r="C5" s="18" t="s">
        <v>14</v>
      </c>
      <c r="D5" s="19" t="s">
        <v>15</v>
      </c>
      <c r="E5" s="20" t="s">
        <v>16</v>
      </c>
      <c r="F5" s="21">
        <f>VLOOKUP(D5,ПГ!$G$7:$I$21,3,TRUE)+VLOOKUP(D5,ПГ!$G$7:$I$21,2,TRUE)</f>
        <v>11150</v>
      </c>
      <c r="G5" s="22">
        <f aca="true" t="shared" si="0" ref="G5:G17">ROUND(F5*0.975,-1)</f>
        <v>10870</v>
      </c>
      <c r="H5" s="22">
        <f aca="true" t="shared" si="1" ref="H5:H17">ROUND(F5*0.95,-1)</f>
        <v>10590</v>
      </c>
    </row>
    <row r="6" spans="1:8" s="4" customFormat="1" ht="63" hidden="1" thickBot="1">
      <c r="A6" s="23">
        <f>A5+1</f>
        <v>2</v>
      </c>
      <c r="B6" s="17" t="s">
        <v>17</v>
      </c>
      <c r="C6" s="18" t="s">
        <v>18</v>
      </c>
      <c r="D6" s="24" t="s">
        <v>19</v>
      </c>
      <c r="E6" s="20" t="s">
        <v>20</v>
      </c>
      <c r="F6" s="21">
        <f>F5+F10</f>
        <v>18820</v>
      </c>
      <c r="G6" s="22">
        <f t="shared" si="0"/>
        <v>18350</v>
      </c>
      <c r="H6" s="22">
        <f t="shared" si="1"/>
        <v>17880</v>
      </c>
    </row>
    <row r="7" spans="1:8" s="4" customFormat="1" ht="39" hidden="1" thickBot="1">
      <c r="A7" s="23">
        <f>A6+1</f>
        <v>3</v>
      </c>
      <c r="B7" s="17" t="s">
        <v>21</v>
      </c>
      <c r="C7" s="18" t="s">
        <v>18</v>
      </c>
      <c r="D7" s="24" t="s">
        <v>22</v>
      </c>
      <c r="E7" s="20" t="s">
        <v>23</v>
      </c>
      <c r="F7" s="25">
        <f>F5+F11</f>
        <v>31850</v>
      </c>
      <c r="G7" s="22">
        <f t="shared" si="0"/>
        <v>31050</v>
      </c>
      <c r="H7" s="22">
        <f t="shared" si="1"/>
        <v>30260</v>
      </c>
    </row>
    <row r="8" spans="1:8" s="4" customFormat="1" ht="39.75" hidden="1" thickBot="1">
      <c r="A8" s="23">
        <f>A7+1</f>
        <v>4</v>
      </c>
      <c r="B8" s="17" t="s">
        <v>24</v>
      </c>
      <c r="C8" s="18" t="s">
        <v>25</v>
      </c>
      <c r="D8" s="24" t="s">
        <v>26</v>
      </c>
      <c r="E8" s="20" t="s">
        <v>27</v>
      </c>
      <c r="F8" s="25">
        <f>F5+F10+F13</f>
        <v>29300</v>
      </c>
      <c r="G8" s="22">
        <f t="shared" si="0"/>
        <v>28570</v>
      </c>
      <c r="H8" s="22">
        <f t="shared" si="1"/>
        <v>27840</v>
      </c>
    </row>
    <row r="9" spans="1:8" s="4" customFormat="1" ht="39.75" hidden="1" thickBot="1">
      <c r="A9" s="23">
        <f>A8+1</f>
        <v>5</v>
      </c>
      <c r="B9" s="17" t="s">
        <v>28</v>
      </c>
      <c r="C9" s="18" t="s">
        <v>25</v>
      </c>
      <c r="D9" s="24" t="s">
        <v>29</v>
      </c>
      <c r="E9" s="20" t="s">
        <v>30</v>
      </c>
      <c r="F9" s="25">
        <f>F5+F11+F13</f>
        <v>42330</v>
      </c>
      <c r="G9" s="22">
        <f t="shared" si="0"/>
        <v>41270</v>
      </c>
      <c r="H9" s="22">
        <f t="shared" si="1"/>
        <v>40210</v>
      </c>
    </row>
    <row r="10" spans="1:8" ht="37.5" hidden="1" thickBot="1">
      <c r="A10" s="26"/>
      <c r="B10" s="27" t="s">
        <v>31</v>
      </c>
      <c r="C10" s="28" t="s">
        <v>32</v>
      </c>
      <c r="D10" s="29" t="s">
        <v>33</v>
      </c>
      <c r="E10" s="30" t="s">
        <v>34</v>
      </c>
      <c r="F10" s="31">
        <f>VLOOKUP(D10,ПГ!$G$7:$I$21,2,TRUE)</f>
        <v>7670</v>
      </c>
      <c r="G10" s="32">
        <f t="shared" si="0"/>
        <v>7480</v>
      </c>
      <c r="H10" s="32">
        <f t="shared" si="1"/>
        <v>7290</v>
      </c>
    </row>
    <row r="11" spans="1:8" ht="26.25" hidden="1" thickBot="1">
      <c r="A11" s="26"/>
      <c r="B11" s="27" t="s">
        <v>35</v>
      </c>
      <c r="C11" s="28" t="s">
        <v>14</v>
      </c>
      <c r="D11" s="29" t="s">
        <v>36</v>
      </c>
      <c r="E11" s="30" t="s">
        <v>34</v>
      </c>
      <c r="F11" s="31">
        <f>VLOOKUP(D11,ПГ!$G$7:$I$21,2,TRUE)</f>
        <v>20700</v>
      </c>
      <c r="G11" s="32">
        <f t="shared" si="0"/>
        <v>20180</v>
      </c>
      <c r="H11" s="32">
        <f t="shared" si="1"/>
        <v>19670</v>
      </c>
    </row>
    <row r="12" spans="1:8" ht="29.25" hidden="1" thickBot="1">
      <c r="A12" s="33"/>
      <c r="B12" s="34" t="s">
        <v>37</v>
      </c>
      <c r="C12" s="35" t="s">
        <v>10</v>
      </c>
      <c r="D12" s="36" t="s">
        <v>38</v>
      </c>
      <c r="E12" s="37" t="s">
        <v>39</v>
      </c>
      <c r="F12" s="38">
        <f>VLOOKUP(D12,ПГ!$G$7:$I$21,2,TRUE)</f>
        <v>10480</v>
      </c>
      <c r="G12" s="39">
        <f t="shared" si="0"/>
        <v>10220</v>
      </c>
      <c r="H12" s="39">
        <f t="shared" si="1"/>
        <v>9960</v>
      </c>
    </row>
    <row r="13" spans="1:8" ht="28.5" hidden="1" thickBot="1">
      <c r="A13" s="33"/>
      <c r="B13" s="34" t="s">
        <v>37</v>
      </c>
      <c r="C13" s="35" t="s">
        <v>10</v>
      </c>
      <c r="D13" s="36" t="s">
        <v>40</v>
      </c>
      <c r="E13" s="37" t="s">
        <v>41</v>
      </c>
      <c r="F13" s="38">
        <f>VLOOKUP(D13,ПГ!$G$7:$I$21,2,TRUE)</f>
        <v>10480</v>
      </c>
      <c r="G13" s="39">
        <f t="shared" si="0"/>
        <v>10220</v>
      </c>
      <c r="H13" s="39">
        <f>ROUND(F13*0.95,-1)</f>
        <v>9960</v>
      </c>
    </row>
    <row r="14" spans="1:8" ht="26.25" hidden="1" thickBot="1">
      <c r="A14" s="33"/>
      <c r="B14" s="34" t="s">
        <v>37</v>
      </c>
      <c r="C14" s="35" t="s">
        <v>14</v>
      </c>
      <c r="D14" s="36" t="s">
        <v>42</v>
      </c>
      <c r="E14" s="37" t="s">
        <v>43</v>
      </c>
      <c r="F14" s="38">
        <f>VLOOKUP(D14,ПГ!$G$7:$I$21,2,TRUE)</f>
        <v>11630</v>
      </c>
      <c r="G14" s="39">
        <f t="shared" si="0"/>
        <v>11340</v>
      </c>
      <c r="H14" s="39">
        <f t="shared" si="1"/>
        <v>11050</v>
      </c>
    </row>
    <row r="15" spans="1:8" ht="26.25" hidden="1" thickBot="1">
      <c r="A15" s="33"/>
      <c r="B15" s="34" t="s">
        <v>37</v>
      </c>
      <c r="C15" s="35" t="s">
        <v>14</v>
      </c>
      <c r="D15" s="36" t="s">
        <v>44</v>
      </c>
      <c r="E15" s="37" t="s">
        <v>45</v>
      </c>
      <c r="F15" s="38">
        <f>VLOOKUP(D15,ПГ!$G$7:$I$21,2,TRUE)</f>
        <v>12140</v>
      </c>
      <c r="G15" s="39">
        <f t="shared" si="0"/>
        <v>11840</v>
      </c>
      <c r="H15" s="39">
        <f>ROUND(F15*0.95,-1)</f>
        <v>11530</v>
      </c>
    </row>
    <row r="16" spans="1:8" ht="26.25" hidden="1" thickBot="1">
      <c r="A16" s="33"/>
      <c r="B16" s="34" t="s">
        <v>46</v>
      </c>
      <c r="C16" s="35" t="s">
        <v>47</v>
      </c>
      <c r="D16" s="36" t="s">
        <v>48</v>
      </c>
      <c r="E16" s="37" t="s">
        <v>49</v>
      </c>
      <c r="F16" s="38">
        <f>VLOOKUP(D16,ПГ!$G$7:$I$21,2,TRUE)</f>
        <v>20110</v>
      </c>
      <c r="G16" s="39">
        <f t="shared" si="0"/>
        <v>19610</v>
      </c>
      <c r="H16" s="39">
        <f>ROUND(F16*0.95,-1)</f>
        <v>19100</v>
      </c>
    </row>
    <row r="17" spans="1:8" ht="26.25" hidden="1" thickBot="1">
      <c r="A17" s="33"/>
      <c r="B17" s="34" t="s">
        <v>50</v>
      </c>
      <c r="C17" s="35" t="s">
        <v>14</v>
      </c>
      <c r="D17" s="36" t="s">
        <v>51</v>
      </c>
      <c r="E17" s="37" t="s">
        <v>52</v>
      </c>
      <c r="F17" s="38">
        <f>VLOOKUP(D17,ПГ!$G$7:$I$21,2,TRUE)</f>
        <v>19770</v>
      </c>
      <c r="G17" s="39">
        <f t="shared" si="0"/>
        <v>19280</v>
      </c>
      <c r="H17" s="39">
        <f t="shared" si="1"/>
        <v>18780</v>
      </c>
    </row>
    <row r="18" spans="1:8" s="4" customFormat="1" ht="46.5" customHeight="1" hidden="1" thickBot="1">
      <c r="A18" s="23"/>
      <c r="B18" s="40" t="s">
        <v>53</v>
      </c>
      <c r="C18" s="18" t="s">
        <v>54</v>
      </c>
      <c r="D18" s="41" t="s">
        <v>55</v>
      </c>
      <c r="E18" s="20" t="s">
        <v>16</v>
      </c>
      <c r="F18" s="25"/>
      <c r="G18" s="42"/>
      <c r="H18" s="42"/>
    </row>
    <row r="19" spans="1:8" ht="12" customHeight="1" hidden="1" thickBot="1">
      <c r="A19" s="43"/>
      <c r="B19" s="44"/>
      <c r="C19" s="45"/>
      <c r="D19" s="46"/>
      <c r="E19" s="47"/>
      <c r="F19" s="48"/>
      <c r="G19" s="49"/>
      <c r="H19" s="49"/>
    </row>
    <row r="20" spans="1:8" ht="29.25" hidden="1" thickBot="1">
      <c r="A20" s="12">
        <f>A9+1</f>
        <v>6</v>
      </c>
      <c r="B20" s="50" t="s">
        <v>56</v>
      </c>
      <c r="C20" s="51" t="s">
        <v>14</v>
      </c>
      <c r="D20" s="24" t="s">
        <v>38</v>
      </c>
      <c r="E20" s="52" t="s">
        <v>57</v>
      </c>
      <c r="F20" s="21">
        <f>VLOOKUP(D20,ПГ!$G$7:$I$21,3,TRUE)+VLOOKUP(D20,ПГ!$G$7:$I$21,2,TRUE)</f>
        <v>12820</v>
      </c>
      <c r="G20" s="53">
        <f aca="true" t="shared" si="2" ref="G20:G28">ROUND(F20*0.975,-1)</f>
        <v>12500</v>
      </c>
      <c r="H20" s="53">
        <f aca="true" t="shared" si="3" ref="H20:H28">ROUND(F20*0.95,-1)</f>
        <v>12180</v>
      </c>
    </row>
    <row r="21" spans="1:8" ht="29.25" hidden="1" thickBot="1">
      <c r="A21" s="33"/>
      <c r="B21" s="34" t="s">
        <v>58</v>
      </c>
      <c r="C21" s="35" t="s">
        <v>14</v>
      </c>
      <c r="D21" s="36" t="s">
        <v>38</v>
      </c>
      <c r="E21" s="37" t="s">
        <v>39</v>
      </c>
      <c r="F21" s="38">
        <f>VLOOKUP(D21,ПГ!$G$7:$I$21,2,TRUE)</f>
        <v>10480</v>
      </c>
      <c r="G21" s="39">
        <f t="shared" si="2"/>
        <v>10220</v>
      </c>
      <c r="H21" s="39">
        <f t="shared" si="3"/>
        <v>9960</v>
      </c>
    </row>
    <row r="22" spans="1:8" ht="28.5" hidden="1" thickBot="1">
      <c r="A22" s="33"/>
      <c r="B22" s="34" t="s">
        <v>58</v>
      </c>
      <c r="C22" s="35" t="s">
        <v>10</v>
      </c>
      <c r="D22" s="36" t="s">
        <v>40</v>
      </c>
      <c r="E22" s="37" t="s">
        <v>41</v>
      </c>
      <c r="F22" s="38">
        <f>VLOOKUP(D22,ПГ!$G$7:$I$21,2,TRUE)</f>
        <v>10480</v>
      </c>
      <c r="G22" s="39">
        <f t="shared" si="2"/>
        <v>10220</v>
      </c>
      <c r="H22" s="39">
        <f>ROUND(F22*0.95,-1)</f>
        <v>9960</v>
      </c>
    </row>
    <row r="23" spans="1:8" ht="26.25" hidden="1" thickBot="1">
      <c r="A23" s="33"/>
      <c r="B23" s="34" t="s">
        <v>58</v>
      </c>
      <c r="C23" s="35" t="s">
        <v>10</v>
      </c>
      <c r="D23" s="37" t="s">
        <v>59</v>
      </c>
      <c r="E23" s="37" t="s">
        <v>60</v>
      </c>
      <c r="F23" s="38">
        <f>VLOOKUP(D23,ПГ!$G$7:$I$21,2,TRUE)</f>
        <v>11630</v>
      </c>
      <c r="G23" s="39">
        <f t="shared" si="2"/>
        <v>11340</v>
      </c>
      <c r="H23" s="39">
        <f t="shared" si="3"/>
        <v>11050</v>
      </c>
    </row>
    <row r="24" spans="1:8" ht="26.25" hidden="1" thickBot="1">
      <c r="A24" s="33"/>
      <c r="B24" s="34" t="s">
        <v>58</v>
      </c>
      <c r="C24" s="35" t="s">
        <v>10</v>
      </c>
      <c r="D24" s="37" t="s">
        <v>61</v>
      </c>
      <c r="E24" s="37" t="s">
        <v>45</v>
      </c>
      <c r="F24" s="38">
        <f>VLOOKUP(D24,ПГ!$G$7:$I$21,2,TRUE)</f>
        <v>12140</v>
      </c>
      <c r="G24" s="39">
        <f t="shared" si="2"/>
        <v>11840</v>
      </c>
      <c r="H24" s="39">
        <f>ROUND(F24*0.95,-1)</f>
        <v>11530</v>
      </c>
    </row>
    <row r="25" spans="1:8" ht="26.25" hidden="1" thickBot="1">
      <c r="A25" s="33"/>
      <c r="B25" s="34" t="s">
        <v>62</v>
      </c>
      <c r="C25" s="35" t="s">
        <v>14</v>
      </c>
      <c r="D25" s="37" t="s">
        <v>48</v>
      </c>
      <c r="E25" s="37" t="s">
        <v>49</v>
      </c>
      <c r="F25" s="38">
        <f>VLOOKUP(D25,ПГ!$G$7:$I$21,2,TRUE)</f>
        <v>20110</v>
      </c>
      <c r="G25" s="39">
        <f t="shared" si="2"/>
        <v>19610</v>
      </c>
      <c r="H25" s="39">
        <f>ROUND(F25*0.95,-1)</f>
        <v>19100</v>
      </c>
    </row>
    <row r="26" spans="1:8" ht="26.25" hidden="1" thickBot="1">
      <c r="A26" s="33"/>
      <c r="B26" s="34" t="s">
        <v>63</v>
      </c>
      <c r="C26" s="35" t="s">
        <v>14</v>
      </c>
      <c r="D26" s="36" t="s">
        <v>51</v>
      </c>
      <c r="E26" s="37" t="s">
        <v>52</v>
      </c>
      <c r="F26" s="38">
        <f>VLOOKUP(D26,ПГ!$G$7:$I$21,2,TRUE)</f>
        <v>19770</v>
      </c>
      <c r="G26" s="39">
        <f t="shared" si="2"/>
        <v>19280</v>
      </c>
      <c r="H26" s="39">
        <f t="shared" si="3"/>
        <v>18780</v>
      </c>
    </row>
    <row r="27" spans="1:8" ht="38.25" customHeight="1" hidden="1" thickBot="1">
      <c r="A27" s="26"/>
      <c r="B27" s="27" t="s">
        <v>64</v>
      </c>
      <c r="C27" s="28" t="s">
        <v>32</v>
      </c>
      <c r="D27" s="29" t="s">
        <v>33</v>
      </c>
      <c r="E27" s="30" t="s">
        <v>34</v>
      </c>
      <c r="F27" s="31">
        <f>VLOOKUP(D27,ПГ!$G$7:$I$21,2,TRUE)</f>
        <v>7670</v>
      </c>
      <c r="G27" s="32">
        <f t="shared" si="2"/>
        <v>7480</v>
      </c>
      <c r="H27" s="32">
        <f t="shared" si="3"/>
        <v>7290</v>
      </c>
    </row>
    <row r="28" spans="1:8" ht="39" customHeight="1" hidden="1" thickBot="1">
      <c r="A28" s="26"/>
      <c r="B28" s="27" t="s">
        <v>65</v>
      </c>
      <c r="C28" s="28" t="s">
        <v>14</v>
      </c>
      <c r="D28" s="29" t="s">
        <v>36</v>
      </c>
      <c r="E28" s="30" t="s">
        <v>34</v>
      </c>
      <c r="F28" s="31">
        <f>VLOOKUP(D28,ПГ!$G$7:$I$21,2,TRUE)</f>
        <v>20700</v>
      </c>
      <c r="G28" s="32">
        <f t="shared" si="2"/>
        <v>20180</v>
      </c>
      <c r="H28" s="32">
        <f t="shared" si="3"/>
        <v>19670</v>
      </c>
    </row>
    <row r="29" spans="1:8" s="4" customFormat="1" ht="60.75" customHeight="1" hidden="1" thickBot="1">
      <c r="A29" s="23"/>
      <c r="B29" s="40" t="s">
        <v>66</v>
      </c>
      <c r="C29" s="18" t="s">
        <v>54</v>
      </c>
      <c r="D29" s="41" t="s">
        <v>67</v>
      </c>
      <c r="E29" s="52" t="s">
        <v>39</v>
      </c>
      <c r="F29" s="25"/>
      <c r="G29" s="42"/>
      <c r="H29" s="42"/>
    </row>
    <row r="30" spans="1:8" ht="12" customHeight="1" hidden="1" thickBot="1">
      <c r="A30" s="43"/>
      <c r="B30" s="44"/>
      <c r="C30" s="45"/>
      <c r="D30" s="46"/>
      <c r="E30" s="47"/>
      <c r="F30" s="48"/>
      <c r="G30" s="49"/>
      <c r="H30" s="49"/>
    </row>
    <row r="31" spans="1:8" ht="28.5" hidden="1" thickBot="1">
      <c r="A31" s="12">
        <f>A20+1</f>
        <v>7</v>
      </c>
      <c r="B31" s="50" t="s">
        <v>56</v>
      </c>
      <c r="C31" s="51" t="s">
        <v>14</v>
      </c>
      <c r="D31" s="24" t="s">
        <v>40</v>
      </c>
      <c r="E31" s="52" t="s">
        <v>68</v>
      </c>
      <c r="F31" s="21">
        <f>VLOOKUP(D31,ПГ!$G$7:$I$21,3,TRUE)+VLOOKUP(D31,ПГ!$G$7:$I$21,2,TRUE)</f>
        <v>12820</v>
      </c>
      <c r="G31" s="53">
        <f aca="true" t="shared" si="4" ref="G31:G38">ROUND(F31*0.975,-1)</f>
        <v>12500</v>
      </c>
      <c r="H31" s="53">
        <f aca="true" t="shared" si="5" ref="H31:H38">ROUND(F31*0.95,-1)</f>
        <v>12180</v>
      </c>
    </row>
    <row r="32" spans="1:8" ht="28.5" hidden="1" thickBot="1">
      <c r="A32" s="33"/>
      <c r="B32" s="34" t="s">
        <v>58</v>
      </c>
      <c r="C32" s="35" t="s">
        <v>14</v>
      </c>
      <c r="D32" s="36" t="s">
        <v>40</v>
      </c>
      <c r="E32" s="37" t="s">
        <v>68</v>
      </c>
      <c r="F32" s="38">
        <f>VLOOKUP(D32,ПГ!$G$7:$I$21,2,TRUE)</f>
        <v>10480</v>
      </c>
      <c r="G32" s="39">
        <f t="shared" si="4"/>
        <v>10220</v>
      </c>
      <c r="H32" s="39">
        <f t="shared" si="5"/>
        <v>9960</v>
      </c>
    </row>
    <row r="33" spans="1:8" ht="26.25" hidden="1" thickBot="1">
      <c r="A33" s="33"/>
      <c r="B33" s="34" t="s">
        <v>58</v>
      </c>
      <c r="C33" s="35" t="s">
        <v>14</v>
      </c>
      <c r="D33" s="37" t="s">
        <v>59</v>
      </c>
      <c r="E33" s="37" t="s">
        <v>60</v>
      </c>
      <c r="F33" s="38">
        <f>VLOOKUP(D33,ПГ!$G$7:$I$21,2,TRUE)</f>
        <v>11630</v>
      </c>
      <c r="G33" s="39">
        <f t="shared" si="4"/>
        <v>11340</v>
      </c>
      <c r="H33" s="39">
        <f t="shared" si="5"/>
        <v>11050</v>
      </c>
    </row>
    <row r="34" spans="1:8" ht="26.25" hidden="1" thickBot="1">
      <c r="A34" s="33"/>
      <c r="B34" s="34" t="s">
        <v>58</v>
      </c>
      <c r="C34" s="35" t="s">
        <v>14</v>
      </c>
      <c r="D34" s="37" t="s">
        <v>61</v>
      </c>
      <c r="E34" s="37" t="s">
        <v>45</v>
      </c>
      <c r="F34" s="38">
        <f>VLOOKUP(D34,ПГ!$G$7:$I$21,2,TRUE)</f>
        <v>12140</v>
      </c>
      <c r="G34" s="39">
        <f t="shared" si="4"/>
        <v>11840</v>
      </c>
      <c r="H34" s="39">
        <f t="shared" si="5"/>
        <v>11530</v>
      </c>
    </row>
    <row r="35" spans="1:8" ht="26.25" hidden="1" thickBot="1">
      <c r="A35" s="33"/>
      <c r="B35" s="34" t="s">
        <v>62</v>
      </c>
      <c r="C35" s="35" t="s">
        <v>14</v>
      </c>
      <c r="D35" s="37" t="s">
        <v>48</v>
      </c>
      <c r="E35" s="37" t="s">
        <v>49</v>
      </c>
      <c r="F35" s="38">
        <f>VLOOKUP(D35,ПГ!$G$7:$I$21,2,TRUE)</f>
        <v>20110</v>
      </c>
      <c r="G35" s="39">
        <f t="shared" si="4"/>
        <v>19610</v>
      </c>
      <c r="H35" s="39">
        <f t="shared" si="5"/>
        <v>19100</v>
      </c>
    </row>
    <row r="36" spans="1:8" ht="26.25" hidden="1" thickBot="1">
      <c r="A36" s="33"/>
      <c r="B36" s="34" t="s">
        <v>63</v>
      </c>
      <c r="C36" s="35" t="s">
        <v>14</v>
      </c>
      <c r="D36" s="36" t="s">
        <v>51</v>
      </c>
      <c r="E36" s="37" t="s">
        <v>52</v>
      </c>
      <c r="F36" s="38">
        <f>VLOOKUP(D36,ПГ!$G$7:$I$21,2,TRUE)</f>
        <v>19770</v>
      </c>
      <c r="G36" s="39">
        <f t="shared" si="4"/>
        <v>19280</v>
      </c>
      <c r="H36" s="39">
        <f t="shared" si="5"/>
        <v>18780</v>
      </c>
    </row>
    <row r="37" spans="1:8" ht="38.25" customHeight="1" hidden="1" thickBot="1">
      <c r="A37" s="26"/>
      <c r="B37" s="27" t="s">
        <v>64</v>
      </c>
      <c r="C37" s="28" t="s">
        <v>32</v>
      </c>
      <c r="D37" s="29" t="s">
        <v>33</v>
      </c>
      <c r="E37" s="30" t="s">
        <v>34</v>
      </c>
      <c r="F37" s="31">
        <f>VLOOKUP(D37,ПГ!$G$7:$I$21,2,TRUE)</f>
        <v>7670</v>
      </c>
      <c r="G37" s="32">
        <f t="shared" si="4"/>
        <v>7480</v>
      </c>
      <c r="H37" s="32">
        <f t="shared" si="5"/>
        <v>7290</v>
      </c>
    </row>
    <row r="38" spans="1:8" ht="33" customHeight="1" hidden="1" thickBot="1">
      <c r="A38" s="26"/>
      <c r="B38" s="27" t="s">
        <v>65</v>
      </c>
      <c r="C38" s="28" t="s">
        <v>14</v>
      </c>
      <c r="D38" s="29" t="s">
        <v>36</v>
      </c>
      <c r="E38" s="30" t="s">
        <v>34</v>
      </c>
      <c r="F38" s="31">
        <f>VLOOKUP(D38,ПГ!$G$7:$I$21,2,TRUE)</f>
        <v>20700</v>
      </c>
      <c r="G38" s="32">
        <f t="shared" si="4"/>
        <v>20180</v>
      </c>
      <c r="H38" s="32">
        <f t="shared" si="5"/>
        <v>19670</v>
      </c>
    </row>
    <row r="39" spans="1:8" s="4" customFormat="1" ht="60.75" customHeight="1" hidden="1" thickBot="1">
      <c r="A39" s="23"/>
      <c r="B39" s="40" t="s">
        <v>66</v>
      </c>
      <c r="C39" s="18" t="s">
        <v>54</v>
      </c>
      <c r="D39" s="41" t="s">
        <v>67</v>
      </c>
      <c r="E39" s="52" t="s">
        <v>68</v>
      </c>
      <c r="F39" s="25"/>
      <c r="G39" s="42"/>
      <c r="H39" s="42"/>
    </row>
    <row r="40" spans="1:8" ht="15.75" customHeight="1" hidden="1" thickBot="1">
      <c r="A40" s="43"/>
      <c r="B40" s="44"/>
      <c r="C40" s="45"/>
      <c r="D40" s="46"/>
      <c r="E40" s="47"/>
      <c r="F40" s="48"/>
      <c r="G40" s="49"/>
      <c r="H40" s="49"/>
    </row>
    <row r="41" spans="1:8" ht="15" hidden="1" thickBot="1">
      <c r="A41" s="12">
        <f>A31+1</f>
        <v>8</v>
      </c>
      <c r="B41" s="50" t="s">
        <v>56</v>
      </c>
      <c r="C41" s="51" t="s">
        <v>14</v>
      </c>
      <c r="D41" s="20" t="s">
        <v>59</v>
      </c>
      <c r="E41" s="54" t="s">
        <v>60</v>
      </c>
      <c r="F41" s="21">
        <f>VLOOKUP(D41,ПГ!$G$7:$I$21,3,TRUE)+VLOOKUP(D41,ПГ!$G$7:$I$21,2,TRUE)</f>
        <v>13740</v>
      </c>
      <c r="G41" s="53">
        <f aca="true" t="shared" si="6" ref="G41:G46">ROUND(F41*0.975,-1)</f>
        <v>13400</v>
      </c>
      <c r="H41" s="53">
        <f aca="true" t="shared" si="7" ref="H41:H46">ROUND(F41*0.95,-1)</f>
        <v>13050</v>
      </c>
    </row>
    <row r="42" spans="1:8" ht="26.25" hidden="1" thickBot="1">
      <c r="A42" s="33"/>
      <c r="B42" s="34" t="s">
        <v>58</v>
      </c>
      <c r="C42" s="35" t="s">
        <v>14</v>
      </c>
      <c r="D42" s="37" t="s">
        <v>61</v>
      </c>
      <c r="E42" s="37" t="s">
        <v>45</v>
      </c>
      <c r="F42" s="38">
        <f>VLOOKUP(D42,ПГ!$G$7:$I$21,2,TRUE)</f>
        <v>12140</v>
      </c>
      <c r="G42" s="39">
        <f t="shared" si="6"/>
        <v>11840</v>
      </c>
      <c r="H42" s="39">
        <f t="shared" si="7"/>
        <v>11530</v>
      </c>
    </row>
    <row r="43" spans="1:8" ht="26.25" hidden="1" thickBot="1">
      <c r="A43" s="33"/>
      <c r="B43" s="34" t="s">
        <v>62</v>
      </c>
      <c r="C43" s="35" t="s">
        <v>14</v>
      </c>
      <c r="D43" s="37" t="s">
        <v>48</v>
      </c>
      <c r="E43" s="37" t="s">
        <v>49</v>
      </c>
      <c r="F43" s="38">
        <f>VLOOKUP(D43,ПГ!$G$7:$I$21,2,TRUE)</f>
        <v>20110</v>
      </c>
      <c r="G43" s="39">
        <f t="shared" si="6"/>
        <v>19610</v>
      </c>
      <c r="H43" s="39">
        <f t="shared" si="7"/>
        <v>19100</v>
      </c>
    </row>
    <row r="44" spans="1:8" ht="26.25" hidden="1" thickBot="1">
      <c r="A44" s="33"/>
      <c r="B44" s="34" t="s">
        <v>63</v>
      </c>
      <c r="C44" s="35" t="s">
        <v>14</v>
      </c>
      <c r="D44" s="36" t="s">
        <v>51</v>
      </c>
      <c r="E44" s="37" t="s">
        <v>52</v>
      </c>
      <c r="F44" s="38">
        <f>VLOOKUP(D44,ПГ!$G$7:$I$21,2,TRUE)</f>
        <v>19770</v>
      </c>
      <c r="G44" s="39">
        <f t="shared" si="6"/>
        <v>19280</v>
      </c>
      <c r="H44" s="39">
        <f t="shared" si="7"/>
        <v>18780</v>
      </c>
    </row>
    <row r="45" spans="1:8" ht="39" hidden="1" thickBot="1">
      <c r="A45" s="26"/>
      <c r="B45" s="27" t="s">
        <v>64</v>
      </c>
      <c r="C45" s="28" t="s">
        <v>32</v>
      </c>
      <c r="D45" s="29" t="s">
        <v>33</v>
      </c>
      <c r="E45" s="30" t="s">
        <v>34</v>
      </c>
      <c r="F45" s="31">
        <f>VLOOKUP(D45,ПГ!$G$7:$I$21,2,TRUE)</f>
        <v>7670</v>
      </c>
      <c r="G45" s="32">
        <f t="shared" si="6"/>
        <v>7480</v>
      </c>
      <c r="H45" s="32">
        <f t="shared" si="7"/>
        <v>7290</v>
      </c>
    </row>
    <row r="46" spans="1:8" ht="26.25" hidden="1" thickBot="1">
      <c r="A46" s="26"/>
      <c r="B46" s="27" t="s">
        <v>35</v>
      </c>
      <c r="C46" s="28" t="s">
        <v>14</v>
      </c>
      <c r="D46" s="29" t="s">
        <v>36</v>
      </c>
      <c r="E46" s="30" t="s">
        <v>34</v>
      </c>
      <c r="F46" s="31">
        <f>VLOOKUP(D46,ПГ!$G$7:$I$21,2,TRUE)</f>
        <v>20700</v>
      </c>
      <c r="G46" s="32">
        <f t="shared" si="6"/>
        <v>20180</v>
      </c>
      <c r="H46" s="32">
        <f t="shared" si="7"/>
        <v>19670</v>
      </c>
    </row>
    <row r="47" spans="1:8" s="4" customFormat="1" ht="53.25" customHeight="1" hidden="1" thickBot="1">
      <c r="A47" s="23"/>
      <c r="B47" s="40" t="s">
        <v>66</v>
      </c>
      <c r="C47" s="18" t="s">
        <v>69</v>
      </c>
      <c r="D47" s="55" t="s">
        <v>70</v>
      </c>
      <c r="E47" s="54" t="s">
        <v>60</v>
      </c>
      <c r="F47" s="25"/>
      <c r="G47" s="42"/>
      <c r="H47" s="42"/>
    </row>
    <row r="48" spans="1:8" ht="15.75" customHeight="1" hidden="1" thickBot="1">
      <c r="A48" s="43"/>
      <c r="B48" s="44"/>
      <c r="C48" s="45"/>
      <c r="D48" s="46"/>
      <c r="E48" s="47"/>
      <c r="F48" s="48"/>
      <c r="G48" s="49"/>
      <c r="H48" s="49"/>
    </row>
    <row r="49" spans="1:8" ht="15" hidden="1" thickBot="1">
      <c r="A49" s="12">
        <f>A41+1</f>
        <v>9</v>
      </c>
      <c r="B49" s="50" t="s">
        <v>56</v>
      </c>
      <c r="C49" s="51" t="s">
        <v>14</v>
      </c>
      <c r="D49" s="54" t="s">
        <v>61</v>
      </c>
      <c r="E49" s="54" t="s">
        <v>45</v>
      </c>
      <c r="F49" s="21">
        <f>VLOOKUP(D49,ПГ!$G$7:$I$21,3,TRUE)+VLOOKUP(D49,ПГ!$G$7:$I$21,2,TRUE)</f>
        <v>14480</v>
      </c>
      <c r="G49" s="53">
        <f>ROUND(F49*0.975,-1)</f>
        <v>14120</v>
      </c>
      <c r="H49" s="53">
        <f>ROUND(F49*0.95,-1)</f>
        <v>13760</v>
      </c>
    </row>
    <row r="50" spans="1:8" ht="26.25" hidden="1" thickBot="1">
      <c r="A50" s="33"/>
      <c r="B50" s="34" t="s">
        <v>62</v>
      </c>
      <c r="C50" s="35" t="s">
        <v>14</v>
      </c>
      <c r="D50" s="37" t="s">
        <v>48</v>
      </c>
      <c r="E50" s="37" t="s">
        <v>49</v>
      </c>
      <c r="F50" s="38">
        <f>VLOOKUP(D50,ПГ!$G$7:$I$21,2,TRUE)</f>
        <v>20110</v>
      </c>
      <c r="G50" s="39">
        <f>ROUND(F50*0.975,-1)</f>
        <v>19610</v>
      </c>
      <c r="H50" s="39">
        <f>ROUND(F50*0.95,-1)</f>
        <v>19100</v>
      </c>
    </row>
    <row r="51" spans="1:8" ht="26.25" hidden="1" thickBot="1">
      <c r="A51" s="33"/>
      <c r="B51" s="34" t="s">
        <v>63</v>
      </c>
      <c r="C51" s="35" t="s">
        <v>14</v>
      </c>
      <c r="D51" s="36" t="s">
        <v>51</v>
      </c>
      <c r="E51" s="37" t="s">
        <v>52</v>
      </c>
      <c r="F51" s="38">
        <f>VLOOKUP(D51,ПГ!$G$7:$I$21,2,TRUE)</f>
        <v>19770</v>
      </c>
      <c r="G51" s="39">
        <f>ROUND(F51*0.975,-1)</f>
        <v>19280</v>
      </c>
      <c r="H51" s="39">
        <f>ROUND(F51*0.95,-1)</f>
        <v>18780</v>
      </c>
    </row>
    <row r="52" spans="1:8" ht="39" hidden="1" thickBot="1">
      <c r="A52" s="26"/>
      <c r="B52" s="27" t="s">
        <v>64</v>
      </c>
      <c r="C52" s="28" t="s">
        <v>32</v>
      </c>
      <c r="D52" s="29" t="s">
        <v>33</v>
      </c>
      <c r="E52" s="30" t="s">
        <v>34</v>
      </c>
      <c r="F52" s="31">
        <f>VLOOKUP(D52,ПГ!$G$7:$I$21,2,TRUE)</f>
        <v>7670</v>
      </c>
      <c r="G52" s="32">
        <f>ROUND(F52*0.975,-1)</f>
        <v>7480</v>
      </c>
      <c r="H52" s="32">
        <f>ROUND(F52*0.95,-1)</f>
        <v>7290</v>
      </c>
    </row>
    <row r="53" spans="1:8" ht="26.25" hidden="1" thickBot="1">
      <c r="A53" s="26"/>
      <c r="B53" s="27" t="s">
        <v>35</v>
      </c>
      <c r="C53" s="28" t="s">
        <v>14</v>
      </c>
      <c r="D53" s="29" t="s">
        <v>36</v>
      </c>
      <c r="E53" s="30" t="s">
        <v>34</v>
      </c>
      <c r="F53" s="31">
        <f>VLOOKUP(D53,ПГ!$G$7:$I$21,2,TRUE)</f>
        <v>20700</v>
      </c>
      <c r="G53" s="32">
        <f>ROUND(F53*0.975,-1)</f>
        <v>20180</v>
      </c>
      <c r="H53" s="32">
        <f>ROUND(F53*0.95,-1)</f>
        <v>19670</v>
      </c>
    </row>
    <row r="54" spans="1:8" s="4" customFormat="1" ht="53.25" customHeight="1" hidden="1" thickBot="1">
      <c r="A54" s="23"/>
      <c r="B54" s="40" t="s">
        <v>66</v>
      </c>
      <c r="C54" s="18" t="s">
        <v>54</v>
      </c>
      <c r="D54" s="55" t="s">
        <v>71</v>
      </c>
      <c r="E54" s="54" t="s">
        <v>45</v>
      </c>
      <c r="F54" s="25"/>
      <c r="G54" s="42"/>
      <c r="H54" s="42"/>
    </row>
    <row r="55" spans="1:8" ht="14.25" customHeight="1" hidden="1" thickBot="1">
      <c r="A55" s="43"/>
      <c r="B55" s="44"/>
      <c r="C55" s="45"/>
      <c r="D55" s="46"/>
      <c r="E55" s="47"/>
      <c r="F55" s="48"/>
      <c r="G55" s="49"/>
      <c r="H55" s="49"/>
    </row>
    <row r="56" spans="1:8" ht="14.25" hidden="1" thickBot="1">
      <c r="A56" s="12">
        <f>A49+1</f>
        <v>10</v>
      </c>
      <c r="B56" s="50" t="s">
        <v>56</v>
      </c>
      <c r="C56" s="51" t="s">
        <v>14</v>
      </c>
      <c r="D56" s="20" t="s">
        <v>48</v>
      </c>
      <c r="E56" s="54" t="s">
        <v>49</v>
      </c>
      <c r="F56" s="21">
        <f>VLOOKUP(D56,ПГ!$G$7:$I$21,3,TRUE)+VLOOKUP(D56,ПГ!$G$7:$I$21,2,TRUE)</f>
        <v>22450</v>
      </c>
      <c r="G56" s="53">
        <f>ROUND(F56*0.975,-1)</f>
        <v>21890</v>
      </c>
      <c r="H56" s="53">
        <f>ROUND(F56*0.95,-1)</f>
        <v>21330</v>
      </c>
    </row>
    <row r="57" spans="1:8" ht="26.25" hidden="1" thickBot="1">
      <c r="A57" s="33"/>
      <c r="B57" s="34" t="s">
        <v>63</v>
      </c>
      <c r="C57" s="35" t="s">
        <v>14</v>
      </c>
      <c r="D57" s="36" t="s">
        <v>51</v>
      </c>
      <c r="E57" s="37" t="s">
        <v>52</v>
      </c>
      <c r="F57" s="38">
        <f>VLOOKUP(D57,ПГ!$G$7:$I$21,2,TRUE)</f>
        <v>19770</v>
      </c>
      <c r="G57" s="39">
        <f>ROUND(F57*0.975,-1)</f>
        <v>19280</v>
      </c>
      <c r="H57" s="39">
        <f>ROUND(F57*0.95,-1)</f>
        <v>18780</v>
      </c>
    </row>
    <row r="58" spans="1:8" ht="39" hidden="1" thickBot="1">
      <c r="A58" s="26"/>
      <c r="B58" s="27" t="s">
        <v>64</v>
      </c>
      <c r="C58" s="28" t="s">
        <v>32</v>
      </c>
      <c r="D58" s="29" t="s">
        <v>33</v>
      </c>
      <c r="E58" s="30" t="s">
        <v>34</v>
      </c>
      <c r="F58" s="31">
        <f>VLOOKUP(D58,ПГ!$G$7:$I$21,2,TRUE)</f>
        <v>7670</v>
      </c>
      <c r="G58" s="32">
        <f>ROUND(F58*0.975,-1)</f>
        <v>7480</v>
      </c>
      <c r="H58" s="32">
        <f>ROUND(F58*0.95,-1)</f>
        <v>7290</v>
      </c>
    </row>
    <row r="59" spans="1:8" ht="26.25" hidden="1" thickBot="1">
      <c r="A59" s="26"/>
      <c r="B59" s="27" t="s">
        <v>35</v>
      </c>
      <c r="C59" s="28" t="s">
        <v>14</v>
      </c>
      <c r="D59" s="29" t="s">
        <v>36</v>
      </c>
      <c r="E59" s="30" t="s">
        <v>34</v>
      </c>
      <c r="F59" s="31">
        <f>VLOOKUP(D59,ПГ!$G$7:$I$21,2,TRUE)</f>
        <v>20700</v>
      </c>
      <c r="G59" s="32">
        <f>ROUND(F59*0.975,-1)</f>
        <v>20180</v>
      </c>
      <c r="H59" s="32">
        <f>ROUND(F59*0.95,-1)</f>
        <v>19670</v>
      </c>
    </row>
    <row r="60" spans="1:8" s="4" customFormat="1" ht="53.25" customHeight="1" hidden="1" thickBot="1">
      <c r="A60" s="23"/>
      <c r="B60" s="40" t="s">
        <v>66</v>
      </c>
      <c r="C60" s="18" t="s">
        <v>54</v>
      </c>
      <c r="D60" s="55" t="s">
        <v>72</v>
      </c>
      <c r="E60" s="54" t="s">
        <v>49</v>
      </c>
      <c r="F60" s="25"/>
      <c r="G60" s="42"/>
      <c r="H60" s="42"/>
    </row>
    <row r="61" spans="1:8" ht="14.25" customHeight="1" hidden="1" thickBot="1">
      <c r="A61" s="43"/>
      <c r="B61" s="44"/>
      <c r="C61" s="45"/>
      <c r="D61" s="46"/>
      <c r="E61" s="47"/>
      <c r="F61" s="48"/>
      <c r="G61" s="49"/>
      <c r="H61" s="49"/>
    </row>
    <row r="62" spans="1:8" ht="30" customHeight="1" hidden="1" thickBot="1">
      <c r="A62" s="12">
        <f>A56+1</f>
        <v>11</v>
      </c>
      <c r="B62" s="50" t="s">
        <v>56</v>
      </c>
      <c r="C62" s="51" t="s">
        <v>14</v>
      </c>
      <c r="D62" s="41" t="s">
        <v>73</v>
      </c>
      <c r="E62" s="52" t="s">
        <v>52</v>
      </c>
      <c r="F62" s="21">
        <f>VLOOKUP(D62,ПГ!$G$7:$I$21,3,TRUE)+VLOOKUP(D62,ПГ!$G$7:$I$21,2,TRUE)</f>
        <v>21890</v>
      </c>
      <c r="G62" s="53">
        <f>ROUND(F62*0.975,-1)</f>
        <v>21340</v>
      </c>
      <c r="H62" s="53">
        <f>ROUND(F62*0.95,-1)</f>
        <v>20800</v>
      </c>
    </row>
    <row r="63" spans="1:8" ht="39" hidden="1" thickBot="1">
      <c r="A63" s="26"/>
      <c r="B63" s="27" t="s">
        <v>64</v>
      </c>
      <c r="C63" s="28" t="s">
        <v>32</v>
      </c>
      <c r="D63" s="29" t="s">
        <v>33</v>
      </c>
      <c r="E63" s="30" t="s">
        <v>34</v>
      </c>
      <c r="F63" s="31">
        <f>VLOOKUP(D63,ПГ!$G$7:$I$21,2,TRUE)</f>
        <v>7670</v>
      </c>
      <c r="G63" s="32">
        <f>ROUND(F63*0.975,-1)</f>
        <v>7480</v>
      </c>
      <c r="H63" s="32">
        <f>ROUND(F63*0.95,-1)</f>
        <v>7290</v>
      </c>
    </row>
    <row r="64" spans="1:8" s="4" customFormat="1" ht="53.25" customHeight="1" hidden="1" thickBot="1">
      <c r="A64" s="23"/>
      <c r="B64" s="40" t="s">
        <v>66</v>
      </c>
      <c r="C64" s="18" t="s">
        <v>54</v>
      </c>
      <c r="D64" s="41" t="s">
        <v>74</v>
      </c>
      <c r="E64" s="52" t="s">
        <v>52</v>
      </c>
      <c r="F64" s="25"/>
      <c r="G64" s="42"/>
      <c r="H64" s="42"/>
    </row>
    <row r="65" spans="1:8" ht="27.75" customHeight="1" hidden="1" thickBot="1">
      <c r="A65" s="43"/>
      <c r="B65" s="44"/>
      <c r="C65" s="45"/>
      <c r="D65" s="46"/>
      <c r="E65" s="47"/>
      <c r="F65" s="48"/>
      <c r="G65" s="49"/>
      <c r="H65" s="49"/>
    </row>
    <row r="66" spans="1:8" ht="38.25" customHeight="1" hidden="1" thickBot="1">
      <c r="A66" s="23">
        <f>A62+1</f>
        <v>12</v>
      </c>
      <c r="B66" s="17" t="s">
        <v>75</v>
      </c>
      <c r="C66" s="18" t="s">
        <v>14</v>
      </c>
      <c r="D66" s="24" t="s">
        <v>76</v>
      </c>
      <c r="E66" s="54" t="s">
        <v>77</v>
      </c>
      <c r="F66" s="21">
        <f>VLOOKUP(D66,ПГ!$G$7:$I$21,2,TRUE)+ПГ!H20</f>
        <v>13320</v>
      </c>
      <c r="G66" s="42">
        <f>ROUND(F66*0.975,-1)</f>
        <v>12990</v>
      </c>
      <c r="H66" s="42">
        <f>ROUND(F66*0.95,-1)</f>
        <v>12650</v>
      </c>
    </row>
    <row r="67" spans="1:8" ht="27.75" customHeight="1" hidden="1" thickBot="1">
      <c r="A67" s="23">
        <f>A66+1</f>
        <v>13</v>
      </c>
      <c r="B67" s="17"/>
      <c r="C67" s="18"/>
      <c r="D67" s="24"/>
      <c r="E67" s="54"/>
      <c r="F67" s="21"/>
      <c r="G67" s="42"/>
      <c r="H67" s="42"/>
    </row>
    <row r="68" spans="1:8" s="4" customFormat="1" ht="27.75" customHeight="1" hidden="1" thickBot="1">
      <c r="A68" s="23"/>
      <c r="B68" s="40" t="s">
        <v>78</v>
      </c>
      <c r="C68" s="18" t="s">
        <v>14</v>
      </c>
      <c r="D68" s="56" t="s">
        <v>79</v>
      </c>
      <c r="E68" s="54" t="s">
        <v>77</v>
      </c>
      <c r="F68" s="25"/>
      <c r="G68" s="42"/>
      <c r="H68" s="42"/>
    </row>
    <row r="69" spans="1:8" s="4" customFormat="1" ht="27.75" customHeight="1" hidden="1" thickBot="1">
      <c r="A69" s="23"/>
      <c r="B69" s="40" t="s">
        <v>80</v>
      </c>
      <c r="C69" s="18" t="s">
        <v>14</v>
      </c>
      <c r="D69" s="56" t="s">
        <v>81</v>
      </c>
      <c r="E69" s="54" t="s">
        <v>77</v>
      </c>
      <c r="F69" s="25"/>
      <c r="G69" s="42"/>
      <c r="H69" s="42"/>
    </row>
    <row r="70" spans="1:5" ht="27.75" customHeight="1" hidden="1">
      <c r="A70" s="57"/>
      <c r="B70" s="58"/>
      <c r="E70" s="1"/>
    </row>
    <row r="71" spans="1:5" ht="13.5" hidden="1" thickBot="1">
      <c r="A71" s="57"/>
      <c r="B71" s="58"/>
      <c r="E71" s="1"/>
    </row>
    <row r="72" spans="1:8" ht="54" customHeight="1" hidden="1" thickBot="1">
      <c r="A72" s="919" t="s">
        <v>82</v>
      </c>
      <c r="B72" s="919"/>
      <c r="C72" s="919"/>
      <c r="D72" s="919"/>
      <c r="E72" s="9" t="s">
        <v>5</v>
      </c>
      <c r="F72" s="929" t="s">
        <v>6</v>
      </c>
      <c r="G72" s="929"/>
      <c r="H72" s="929"/>
    </row>
    <row r="73" spans="1:8" ht="27" customHeight="1" hidden="1" thickBot="1">
      <c r="A73" s="10" t="s">
        <v>7</v>
      </c>
      <c r="B73" s="922" t="s">
        <v>0</v>
      </c>
      <c r="C73" s="923" t="s">
        <v>1</v>
      </c>
      <c r="D73" s="923" t="s">
        <v>2</v>
      </c>
      <c r="E73" s="923" t="s">
        <v>3</v>
      </c>
      <c r="F73" s="920" t="s">
        <v>8</v>
      </c>
      <c r="G73" s="920"/>
      <c r="H73" s="920"/>
    </row>
    <row r="74" spans="1:8" ht="13.5" hidden="1" thickBot="1">
      <c r="A74" s="12"/>
      <c r="B74" s="922"/>
      <c r="C74" s="923" t="s">
        <v>9</v>
      </c>
      <c r="D74" s="923"/>
      <c r="E74" s="923"/>
      <c r="F74" s="13" t="s">
        <v>10</v>
      </c>
      <c r="G74" s="14" t="s">
        <v>11</v>
      </c>
      <c r="H74" s="15" t="s">
        <v>12</v>
      </c>
    </row>
    <row r="75" spans="1:8" ht="12.75" customHeight="1" hidden="1" thickBot="1">
      <c r="A75" s="12">
        <f>A67+1</f>
        <v>14</v>
      </c>
      <c r="B75" s="17" t="s">
        <v>83</v>
      </c>
      <c r="C75" s="18" t="s">
        <v>14</v>
      </c>
      <c r="D75" s="24" t="s">
        <v>33</v>
      </c>
      <c r="E75" s="54" t="s">
        <v>77</v>
      </c>
      <c r="F75" s="21" t="e">
        <f>VLOOKUP(D75,#REF!,3,TRUE)+VLOOKUP(D75,#REF!,2,TRUE)</f>
        <v>#REF!</v>
      </c>
      <c r="G75" s="42" t="e">
        <f aca="true" t="shared" si="8" ref="G75:G81">ROUND(F75*0.975,-1)</f>
        <v>#REF!</v>
      </c>
      <c r="H75" s="42" t="e">
        <f aca="true" t="shared" si="9" ref="H75:H81">ROUND(F75*0.95,-1)</f>
        <v>#REF!</v>
      </c>
    </row>
    <row r="76" spans="1:8" ht="26.25" hidden="1" thickBot="1">
      <c r="A76" s="12">
        <f aca="true" t="shared" si="10" ref="A76:A81">A75+1</f>
        <v>15</v>
      </c>
      <c r="B76" s="17" t="s">
        <v>13</v>
      </c>
      <c r="C76" s="18" t="s">
        <v>14</v>
      </c>
      <c r="D76" s="59" t="s">
        <v>84</v>
      </c>
      <c r="E76" s="20" t="s">
        <v>16</v>
      </c>
      <c r="F76" s="21">
        <f>VLOOKUP(D76,ПГ!$G$7:$I$21,3,TRUE)+VLOOKUP(D76,ПГ!$G$7:$I$21,2,TRUE)</f>
        <v>11150</v>
      </c>
      <c r="G76" s="22">
        <f t="shared" si="8"/>
        <v>10870</v>
      </c>
      <c r="H76" s="22">
        <f t="shared" si="9"/>
        <v>10590</v>
      </c>
    </row>
    <row r="77" spans="1:8" ht="29.25" hidden="1" thickBot="1">
      <c r="A77" s="12">
        <f t="shared" si="10"/>
        <v>16</v>
      </c>
      <c r="B77" s="50" t="s">
        <v>56</v>
      </c>
      <c r="C77" s="51" t="s">
        <v>14</v>
      </c>
      <c r="D77" s="56" t="s">
        <v>85</v>
      </c>
      <c r="E77" s="52" t="s">
        <v>86</v>
      </c>
      <c r="F77" s="21">
        <f>VLOOKUP(D77,ПГ!$G$7:$I$21,3,TRUE)+VLOOKUP(D77,ПГ!$G$7:$I$21,2,TRUE)</f>
        <v>12820</v>
      </c>
      <c r="G77" s="53">
        <f t="shared" si="8"/>
        <v>12500</v>
      </c>
      <c r="H77" s="53">
        <f t="shared" si="9"/>
        <v>12180</v>
      </c>
    </row>
    <row r="78" spans="1:8" ht="28.5" hidden="1" thickBot="1">
      <c r="A78" s="12">
        <f t="shared" si="10"/>
        <v>17</v>
      </c>
      <c r="B78" s="50" t="s">
        <v>56</v>
      </c>
      <c r="C78" s="51" t="s">
        <v>14</v>
      </c>
      <c r="D78" s="56" t="s">
        <v>87</v>
      </c>
      <c r="E78" s="52" t="s">
        <v>68</v>
      </c>
      <c r="F78" s="21">
        <f>VLOOKUP(D78,ПГ!$G$7:$I$21,3,TRUE)+VLOOKUP(D78,ПГ!$G$7:$I$21,2,TRUE)</f>
        <v>12820</v>
      </c>
      <c r="G78" s="53">
        <f t="shared" si="8"/>
        <v>12500</v>
      </c>
      <c r="H78" s="53">
        <f t="shared" si="9"/>
        <v>12180</v>
      </c>
    </row>
    <row r="79" spans="1:8" ht="15" hidden="1" thickBot="1">
      <c r="A79" s="12">
        <f t="shared" si="10"/>
        <v>18</v>
      </c>
      <c r="B79" s="50" t="s">
        <v>56</v>
      </c>
      <c r="C79" s="51" t="s">
        <v>14</v>
      </c>
      <c r="D79" s="55" t="s">
        <v>88</v>
      </c>
      <c r="E79" s="54" t="s">
        <v>60</v>
      </c>
      <c r="F79" s="21">
        <f>VLOOKUP(D79,ПГ!$G$7:$I$21,3,TRUE)+VLOOKUP(D79,ПГ!$G$7:$I$21,2,TRUE)</f>
        <v>13740</v>
      </c>
      <c r="G79" s="53">
        <f t="shared" si="8"/>
        <v>13400</v>
      </c>
      <c r="H79" s="53">
        <f t="shared" si="9"/>
        <v>13050</v>
      </c>
    </row>
    <row r="80" spans="1:8" ht="15" hidden="1" thickBot="1">
      <c r="A80" s="12">
        <f t="shared" si="10"/>
        <v>19</v>
      </c>
      <c r="B80" s="50" t="s">
        <v>56</v>
      </c>
      <c r="C80" s="51" t="s">
        <v>14</v>
      </c>
      <c r="D80" s="55" t="s">
        <v>89</v>
      </c>
      <c r="E80" s="54" t="s">
        <v>45</v>
      </c>
      <c r="F80" s="21">
        <f>VLOOKUP(D80,ПГ!$G$7:$I$21,3,TRUE)+VLOOKUP(D80,ПГ!$G$7:$I$21,2,TRUE)</f>
        <v>14480</v>
      </c>
      <c r="G80" s="53">
        <f t="shared" si="8"/>
        <v>14120</v>
      </c>
      <c r="H80" s="53">
        <f t="shared" si="9"/>
        <v>13760</v>
      </c>
    </row>
    <row r="81" spans="1:8" ht="14.25" hidden="1" thickBot="1">
      <c r="A81" s="12">
        <f t="shared" si="10"/>
        <v>20</v>
      </c>
      <c r="B81" s="50" t="s">
        <v>56</v>
      </c>
      <c r="C81" s="51" t="s">
        <v>14</v>
      </c>
      <c r="D81" s="55" t="s">
        <v>48</v>
      </c>
      <c r="E81" s="54" t="s">
        <v>49</v>
      </c>
      <c r="F81" s="21">
        <f>VLOOKUP(D81,ПГ!$G$7:$I$21,3,TRUE)+VLOOKUP(D81,ПГ!$G$7:$I$21,2,TRUE)</f>
        <v>22450</v>
      </c>
      <c r="G81" s="53">
        <f t="shared" si="8"/>
        <v>21890</v>
      </c>
      <c r="H81" s="53">
        <f t="shared" si="9"/>
        <v>21330</v>
      </c>
    </row>
    <row r="82" ht="12.75" hidden="1">
      <c r="A82" s="60"/>
    </row>
    <row r="83" ht="12.75" hidden="1">
      <c r="A83" s="61" t="s">
        <v>90</v>
      </c>
    </row>
    <row r="84" ht="12.75" hidden="1">
      <c r="A84" s="5" t="s">
        <v>91</v>
      </c>
    </row>
    <row r="85" ht="12.75" hidden="1">
      <c r="A85" s="62" t="s">
        <v>92</v>
      </c>
    </row>
    <row r="86" ht="12.75" hidden="1">
      <c r="A86" s="62" t="s">
        <v>93</v>
      </c>
    </row>
    <row r="87" ht="13.5" hidden="1" thickBot="1">
      <c r="A87" s="63"/>
    </row>
    <row r="88" spans="1:8" ht="54.75" customHeight="1" hidden="1" thickBot="1">
      <c r="A88" s="919" t="s">
        <v>94</v>
      </c>
      <c r="B88" s="919"/>
      <c r="C88" s="919"/>
      <c r="D88" s="919"/>
      <c r="E88" s="9" t="s">
        <v>5</v>
      </c>
      <c r="F88" s="929" t="s">
        <v>95</v>
      </c>
      <c r="G88" s="929"/>
      <c r="H88" s="929"/>
    </row>
    <row r="89" spans="1:8" ht="27.75" customHeight="1" hidden="1" thickBot="1">
      <c r="A89" s="10" t="s">
        <v>7</v>
      </c>
      <c r="B89" s="922" t="s">
        <v>0</v>
      </c>
      <c r="C89" s="923" t="s">
        <v>1</v>
      </c>
      <c r="D89" s="923" t="s">
        <v>2</v>
      </c>
      <c r="E89" s="923" t="s">
        <v>3</v>
      </c>
      <c r="F89" s="920" t="s">
        <v>8</v>
      </c>
      <c r="G89" s="920"/>
      <c r="H89" s="920"/>
    </row>
    <row r="90" spans="1:8" ht="13.5" hidden="1" thickBot="1">
      <c r="A90" s="12"/>
      <c r="B90" s="922"/>
      <c r="C90" s="923" t="s">
        <v>9</v>
      </c>
      <c r="D90" s="923"/>
      <c r="E90" s="923"/>
      <c r="F90" s="13" t="s">
        <v>10</v>
      </c>
      <c r="G90" s="14" t="s">
        <v>11</v>
      </c>
      <c r="H90" s="15" t="s">
        <v>12</v>
      </c>
    </row>
    <row r="91" spans="1:8" ht="39" hidden="1" thickBot="1">
      <c r="A91" s="12">
        <f>A81+1</f>
        <v>21</v>
      </c>
      <c r="B91" s="17" t="s">
        <v>96</v>
      </c>
      <c r="C91" s="18" t="s">
        <v>14</v>
      </c>
      <c r="D91" s="24" t="s">
        <v>33</v>
      </c>
      <c r="E91" s="64" t="s">
        <v>97</v>
      </c>
      <c r="F91" s="21">
        <f>VLOOKUP(D91,ПГ!$L$7:$N$21,3,TRUE)+VLOOKUP(D91,ПГ!$L$7:$N$21,2,TRUE)</f>
        <v>10200</v>
      </c>
      <c r="G91" s="42">
        <f aca="true" t="shared" si="11" ref="G91:G99">ROUND(F91*0.975,-1)</f>
        <v>9950</v>
      </c>
      <c r="H91" s="42">
        <f aca="true" t="shared" si="12" ref="H91:H99">ROUND(F91*0.95,-1)</f>
        <v>9690</v>
      </c>
    </row>
    <row r="92" spans="1:8" ht="26.25" hidden="1" thickBot="1">
      <c r="A92" s="12">
        <f aca="true" t="shared" si="13" ref="A92:A99">A91+1</f>
        <v>22</v>
      </c>
      <c r="B92" s="17" t="s">
        <v>98</v>
      </c>
      <c r="C92" s="18" t="s">
        <v>14</v>
      </c>
      <c r="D92" s="65" t="s">
        <v>36</v>
      </c>
      <c r="E92" s="64" t="s">
        <v>97</v>
      </c>
      <c r="F92" s="21">
        <f>VLOOKUP(D92,ПГ!$L$7:$N$21,3,TRUE)+VLOOKUP(D92,ПГ!$L$7:$N$21,2,TRUE)</f>
        <v>23040</v>
      </c>
      <c r="G92" s="42">
        <f t="shared" si="11"/>
        <v>22460</v>
      </c>
      <c r="H92" s="42">
        <f t="shared" si="12"/>
        <v>21890</v>
      </c>
    </row>
    <row r="93" spans="1:8" ht="27.75" hidden="1" thickBot="1">
      <c r="A93" s="12">
        <f t="shared" si="13"/>
        <v>23</v>
      </c>
      <c r="B93" s="66" t="s">
        <v>99</v>
      </c>
      <c r="C93" s="18" t="s">
        <v>14</v>
      </c>
      <c r="D93" s="10" t="s">
        <v>100</v>
      </c>
      <c r="E93" s="64" t="s">
        <v>101</v>
      </c>
      <c r="F93" s="21">
        <f>VLOOKUP(D93,ПГ!$L$7:$N$21,3,TRUE)+VLOOKUP(D93,ПГ!$L$7:$N$21,2,TRUE)</f>
        <v>11800</v>
      </c>
      <c r="G93" s="42">
        <f t="shared" si="11"/>
        <v>11510</v>
      </c>
      <c r="H93" s="42">
        <f t="shared" si="12"/>
        <v>11210</v>
      </c>
    </row>
    <row r="94" spans="1:8" ht="26.25" hidden="1" thickBot="1">
      <c r="A94" s="12">
        <f t="shared" si="13"/>
        <v>24</v>
      </c>
      <c r="B94" s="67" t="s">
        <v>102</v>
      </c>
      <c r="C94" s="51" t="s">
        <v>14</v>
      </c>
      <c r="D94" s="10" t="s">
        <v>103</v>
      </c>
      <c r="E94" s="54" t="s">
        <v>104</v>
      </c>
      <c r="F94" s="21">
        <f>VLOOKUP(D94,ПГ!$L$7:$N$21,3,TRUE)+VLOOKUP(D94,ПГ!$L$7:$N$21,2,TRUE)</f>
        <v>13740</v>
      </c>
      <c r="G94" s="42">
        <f t="shared" si="11"/>
        <v>13400</v>
      </c>
      <c r="H94" s="42">
        <f t="shared" si="12"/>
        <v>13050</v>
      </c>
    </row>
    <row r="95" spans="1:8" ht="29.25" hidden="1" thickBot="1">
      <c r="A95" s="12">
        <f t="shared" si="13"/>
        <v>25</v>
      </c>
      <c r="B95" s="50" t="s">
        <v>105</v>
      </c>
      <c r="C95" s="51" t="s">
        <v>14</v>
      </c>
      <c r="D95" s="10" t="s">
        <v>106</v>
      </c>
      <c r="E95" s="52" t="s">
        <v>107</v>
      </c>
      <c r="F95" s="21">
        <f>VLOOKUP(D95,ПГ!$L$7:$N$21,3,TRUE)+VLOOKUP(D95,ПГ!$L$7:$N$21,2,TRUE)</f>
        <v>12820</v>
      </c>
      <c r="G95" s="42">
        <f t="shared" si="11"/>
        <v>12500</v>
      </c>
      <c r="H95" s="42">
        <f t="shared" si="12"/>
        <v>12180</v>
      </c>
    </row>
    <row r="96" spans="1:8" ht="28.5" hidden="1" thickBot="1">
      <c r="A96" s="12">
        <f t="shared" si="13"/>
        <v>26</v>
      </c>
      <c r="B96" s="50" t="s">
        <v>105</v>
      </c>
      <c r="C96" s="51" t="s">
        <v>14</v>
      </c>
      <c r="D96" s="10" t="s">
        <v>108</v>
      </c>
      <c r="E96" s="52" t="s">
        <v>109</v>
      </c>
      <c r="F96" s="21">
        <f>VLOOKUP(D96,ПГ!$L$7:$N$21,3,TRUE)+VLOOKUP(D96,ПГ!$L$7:$N$21,2,TRUE)</f>
        <v>12820</v>
      </c>
      <c r="G96" s="42">
        <f t="shared" si="11"/>
        <v>12500</v>
      </c>
      <c r="H96" s="42">
        <f>ROUND(F96*0.95,-1)</f>
        <v>12180</v>
      </c>
    </row>
    <row r="97" spans="1:8" ht="27.75" hidden="1" thickBot="1">
      <c r="A97" s="68">
        <f t="shared" si="13"/>
        <v>27</v>
      </c>
      <c r="B97" s="69" t="s">
        <v>110</v>
      </c>
      <c r="C97" s="70" t="s">
        <v>14</v>
      </c>
      <c r="D97" s="71" t="s">
        <v>111</v>
      </c>
      <c r="E97" s="72" t="s">
        <v>112</v>
      </c>
      <c r="F97" s="73">
        <f>VLOOKUP(D97,ПГ!$L$7:$N$21,3,TRUE)+VLOOKUP(D97,ПГ!$L$7:$N$21,2,TRUE)</f>
        <v>19230</v>
      </c>
      <c r="G97" s="74">
        <f t="shared" si="11"/>
        <v>18750</v>
      </c>
      <c r="H97" s="74">
        <f t="shared" si="12"/>
        <v>18270</v>
      </c>
    </row>
    <row r="98" spans="1:8" ht="27.75" hidden="1" thickBot="1">
      <c r="A98" s="12">
        <f t="shared" si="13"/>
        <v>28</v>
      </c>
      <c r="B98" s="66" t="s">
        <v>113</v>
      </c>
      <c r="C98" s="51" t="s">
        <v>14</v>
      </c>
      <c r="D98" s="11" t="s">
        <v>114</v>
      </c>
      <c r="E98" s="64" t="s">
        <v>115</v>
      </c>
      <c r="F98" s="21">
        <f>VLOOKUP(D98,ПГ!$L$7:$N$21,3,TRUE)+VLOOKUP(D98,ПГ!$L$7:$N$21,2,TRUE)</f>
        <v>21890</v>
      </c>
      <c r="G98" s="42">
        <f t="shared" si="11"/>
        <v>21340</v>
      </c>
      <c r="H98" s="42">
        <f t="shared" si="12"/>
        <v>20800</v>
      </c>
    </row>
    <row r="99" spans="1:8" ht="26.25" hidden="1" thickBot="1">
      <c r="A99" s="12">
        <f t="shared" si="13"/>
        <v>29</v>
      </c>
      <c r="B99" s="50" t="s">
        <v>116</v>
      </c>
      <c r="C99" s="51" t="s">
        <v>14</v>
      </c>
      <c r="D99" s="75" t="s">
        <v>117</v>
      </c>
      <c r="E99" s="52" t="s">
        <v>118</v>
      </c>
      <c r="F99" s="76">
        <f>VLOOKUP(D99,ПГ!$L$7:$N$21,3,TRUE)+VLOOKUP(D99,ПГ!$L$7:$N$21,2,TRUE)</f>
        <v>26980</v>
      </c>
      <c r="G99" s="42">
        <f t="shared" si="11"/>
        <v>26310</v>
      </c>
      <c r="H99" s="42">
        <f t="shared" si="12"/>
        <v>25630</v>
      </c>
    </row>
    <row r="100" ht="12.75" hidden="1">
      <c r="E100" s="1"/>
    </row>
    <row r="101" spans="1:5" ht="12.75" hidden="1">
      <c r="A101" s="62" t="s">
        <v>119</v>
      </c>
      <c r="E101" s="1"/>
    </row>
    <row r="102" spans="1:2" ht="38.25" hidden="1">
      <c r="A102" s="77"/>
      <c r="B102" s="78" t="s">
        <v>120</v>
      </c>
    </row>
    <row r="103" ht="12.75" hidden="1"/>
    <row r="104" ht="16.5" hidden="1" thickBot="1">
      <c r="A104" s="77"/>
    </row>
    <row r="105" spans="1:8" ht="52.5" customHeight="1" hidden="1" thickBot="1">
      <c r="A105" s="928" t="s">
        <v>121</v>
      </c>
      <c r="B105" s="928"/>
      <c r="C105" s="928"/>
      <c r="D105" s="928"/>
      <c r="E105" s="9" t="s">
        <v>5</v>
      </c>
      <c r="F105" s="929" t="s">
        <v>122</v>
      </c>
      <c r="G105" s="929"/>
      <c r="H105" s="929"/>
    </row>
    <row r="106" spans="1:8" ht="24.75" customHeight="1" hidden="1" thickBot="1">
      <c r="A106" s="10" t="s">
        <v>7</v>
      </c>
      <c r="B106" s="922" t="s">
        <v>0</v>
      </c>
      <c r="C106" s="923" t="s">
        <v>1</v>
      </c>
      <c r="D106" s="923" t="s">
        <v>2</v>
      </c>
      <c r="E106" s="923" t="s">
        <v>3</v>
      </c>
      <c r="F106" s="920" t="s">
        <v>8</v>
      </c>
      <c r="G106" s="920"/>
      <c r="H106" s="920"/>
    </row>
    <row r="107" spans="1:8" ht="13.5" hidden="1" thickBot="1">
      <c r="A107" s="12"/>
      <c r="B107" s="922"/>
      <c r="C107" s="923" t="s">
        <v>9</v>
      </c>
      <c r="D107" s="923"/>
      <c r="E107" s="923"/>
      <c r="F107" s="13" t="s">
        <v>10</v>
      </c>
      <c r="G107" s="14" t="s">
        <v>11</v>
      </c>
      <c r="H107" s="15" t="s">
        <v>12</v>
      </c>
    </row>
    <row r="108" spans="1:8" ht="27.75" hidden="1" thickBot="1">
      <c r="A108" s="12">
        <f>A99+1</f>
        <v>30</v>
      </c>
      <c r="B108" s="79" t="s">
        <v>123</v>
      </c>
      <c r="C108" s="18" t="s">
        <v>14</v>
      </c>
      <c r="D108" s="10" t="s">
        <v>100</v>
      </c>
      <c r="E108" s="64" t="s">
        <v>101</v>
      </c>
      <c r="F108" s="21">
        <f>VLOOKUP(D108,ПГ!$L$7:$N$21,3,TRUE)+VLOOKUP(D108,ПГ!$L$7:$N$21,2,TRUE)+ПГ!$M$22</f>
        <v>15110</v>
      </c>
      <c r="G108" s="42">
        <f>ROUND(F108*0.975,-1)</f>
        <v>14730</v>
      </c>
      <c r="H108" s="42">
        <f>ROUND(F108*0.95,-1)</f>
        <v>14350</v>
      </c>
    </row>
    <row r="109" spans="1:8" ht="37.5" hidden="1" thickBot="1">
      <c r="A109" s="26"/>
      <c r="B109" s="80" t="s">
        <v>124</v>
      </c>
      <c r="C109" s="28" t="s">
        <v>14</v>
      </c>
      <c r="D109" s="29" t="s">
        <v>125</v>
      </c>
      <c r="E109" s="30" t="s">
        <v>97</v>
      </c>
      <c r="F109" s="31">
        <f>VLOOKUP(D109,ПГ!$L$7:$N$21,2,TRUE)+ПГ!$M$23-ПГ!$M$22</f>
        <v>8960</v>
      </c>
      <c r="G109" s="32">
        <f>ROUND(F109*0.975,-1)</f>
        <v>8740</v>
      </c>
      <c r="H109" s="32">
        <f>ROUND(F109*0.95,-1)</f>
        <v>8510</v>
      </c>
    </row>
    <row r="110" spans="1:8" ht="29.25" hidden="1" thickBot="1">
      <c r="A110" s="33"/>
      <c r="B110" s="34" t="s">
        <v>126</v>
      </c>
      <c r="C110" s="35" t="s">
        <v>14</v>
      </c>
      <c r="D110" s="81" t="s">
        <v>106</v>
      </c>
      <c r="E110" s="37" t="s">
        <v>107</v>
      </c>
      <c r="F110" s="38">
        <f>VLOOKUP(D110,ПГ!$L$7:$N$21,2,TRUE)+ПГ!$M$23-ПГ!$M$22</f>
        <v>11580</v>
      </c>
      <c r="G110" s="39">
        <f>ROUND(F110*0.975,-1)</f>
        <v>11290</v>
      </c>
      <c r="H110" s="39">
        <f>ROUND(F110*0.95,-1)</f>
        <v>11000</v>
      </c>
    </row>
    <row r="111" spans="1:8" ht="28.5" hidden="1" thickBot="1">
      <c r="A111" s="33"/>
      <c r="B111" s="82" t="s">
        <v>127</v>
      </c>
      <c r="C111" s="35" t="s">
        <v>14</v>
      </c>
      <c r="D111" s="81" t="s">
        <v>128</v>
      </c>
      <c r="E111" s="37" t="s">
        <v>109</v>
      </c>
      <c r="F111" s="38">
        <f>VLOOKUP(D111,ПГ!$L$7:$N$21,2,TRUE)+ПГ!$M$23-ПГ!$M$22</f>
        <v>11580</v>
      </c>
      <c r="G111" s="39">
        <f>ROUND(F111*0.975,-1)</f>
        <v>11290</v>
      </c>
      <c r="H111" s="39">
        <f>ROUND(F111*0.95,-1)</f>
        <v>11000</v>
      </c>
    </row>
    <row r="112" spans="1:8" ht="14.25" hidden="1" thickBot="1">
      <c r="A112" s="33"/>
      <c r="B112" s="82" t="s">
        <v>127</v>
      </c>
      <c r="C112" s="35" t="s">
        <v>14</v>
      </c>
      <c r="D112" s="83" t="s">
        <v>88</v>
      </c>
      <c r="E112" s="37" t="s">
        <v>104</v>
      </c>
      <c r="F112" s="38">
        <f>VLOOKUP(D112,ПГ!$L$7:$N$21,2,TRUE)+ПГ!$M$23-ПГ!$M$22</f>
        <v>12730</v>
      </c>
      <c r="G112" s="39">
        <f>ROUND(F112*0.975,-1)</f>
        <v>12410</v>
      </c>
      <c r="H112" s="39">
        <f>ROUND(F112*0.95,-1)</f>
        <v>12090</v>
      </c>
    </row>
    <row r="113" spans="1:8" s="4" customFormat="1" ht="84" customHeight="1" hidden="1" thickBot="1">
      <c r="A113" s="23"/>
      <c r="B113" s="40" t="s">
        <v>129</v>
      </c>
      <c r="C113" s="18" t="s">
        <v>32</v>
      </c>
      <c r="D113" s="41" t="s">
        <v>55</v>
      </c>
      <c r="E113" s="20" t="s">
        <v>16</v>
      </c>
      <c r="F113" s="25"/>
      <c r="G113" s="42"/>
      <c r="H113" s="42"/>
    </row>
    <row r="114" spans="1:8" ht="7.5" customHeight="1" hidden="1" thickBot="1">
      <c r="A114" s="43"/>
      <c r="B114" s="44"/>
      <c r="C114" s="45"/>
      <c r="D114" s="46"/>
      <c r="E114" s="47"/>
      <c r="F114" s="48"/>
      <c r="G114" s="49"/>
      <c r="H114" s="49"/>
    </row>
    <row r="115" spans="1:8" ht="37.5" hidden="1" thickBot="1">
      <c r="A115" s="12">
        <f>A108+1</f>
        <v>31</v>
      </c>
      <c r="B115" s="17" t="s">
        <v>130</v>
      </c>
      <c r="C115" s="18" t="s">
        <v>14</v>
      </c>
      <c r="D115" s="24" t="s">
        <v>125</v>
      </c>
      <c r="E115" s="64" t="s">
        <v>97</v>
      </c>
      <c r="F115" s="21">
        <f>VLOOKUP(D115,ПГ!$L$7:$N$21,3,TRUE)+VLOOKUP(D115,ПГ!$L$7:$N$21,2,TRUE)+ПГ!$M$22</f>
        <v>13510</v>
      </c>
      <c r="G115" s="42">
        <f>ROUND(F115*0.975,-1)</f>
        <v>13170</v>
      </c>
      <c r="H115" s="42">
        <f>ROUND(F115*0.95,-1)</f>
        <v>12830</v>
      </c>
    </row>
    <row r="116" spans="1:8" ht="29.25" hidden="1" thickBot="1">
      <c r="A116" s="33"/>
      <c r="B116" s="34" t="s">
        <v>131</v>
      </c>
      <c r="C116" s="35" t="s">
        <v>14</v>
      </c>
      <c r="D116" s="81" t="s">
        <v>106</v>
      </c>
      <c r="E116" s="37" t="s">
        <v>107</v>
      </c>
      <c r="F116" s="38">
        <f>VLOOKUP(D116,ПГ!$L$7:$N$21,2,TRUE)+ПГ!$M$23-ПГ!$M$22</f>
        <v>11580</v>
      </c>
      <c r="G116" s="39">
        <f>ROUND(F116*0.975,-1)</f>
        <v>11290</v>
      </c>
      <c r="H116" s="39">
        <f>ROUND(F116*0.95,-1)</f>
        <v>11000</v>
      </c>
    </row>
    <row r="117" spans="1:8" ht="28.5" hidden="1" thickBot="1">
      <c r="A117" s="33"/>
      <c r="B117" s="82" t="s">
        <v>127</v>
      </c>
      <c r="C117" s="35"/>
      <c r="D117" s="81" t="s">
        <v>128</v>
      </c>
      <c r="E117" s="37" t="s">
        <v>109</v>
      </c>
      <c r="F117" s="38">
        <f>VLOOKUP(D117,ПГ!$L$7:$N$21,2,TRUE)+ПГ!$M$23-ПГ!$M$22</f>
        <v>11580</v>
      </c>
      <c r="G117" s="39">
        <f>ROUND(F117*0.975,-1)</f>
        <v>11290</v>
      </c>
      <c r="H117" s="39">
        <f>ROUND(F117*0.95,-1)</f>
        <v>11000</v>
      </c>
    </row>
    <row r="118" spans="1:8" ht="14.25" hidden="1" thickBot="1">
      <c r="A118" s="33"/>
      <c r="B118" s="82" t="s">
        <v>127</v>
      </c>
      <c r="C118" s="35" t="s">
        <v>14</v>
      </c>
      <c r="D118" s="83" t="s">
        <v>88</v>
      </c>
      <c r="E118" s="37" t="s">
        <v>104</v>
      </c>
      <c r="F118" s="38">
        <f>VLOOKUP(D118,ПГ!$L$7:$N$21,2,TRUE)+ПГ!$M$23-ПГ!$M$22</f>
        <v>12730</v>
      </c>
      <c r="G118" s="39">
        <f>ROUND(F118*0.975,-1)</f>
        <v>12410</v>
      </c>
      <c r="H118" s="39">
        <f>ROUND(F118*0.95,-1)</f>
        <v>12090</v>
      </c>
    </row>
    <row r="119" spans="1:8" s="4" customFormat="1" ht="84" customHeight="1" hidden="1" thickBot="1">
      <c r="A119" s="23"/>
      <c r="B119" s="40" t="s">
        <v>129</v>
      </c>
      <c r="C119" s="18" t="s">
        <v>10</v>
      </c>
      <c r="D119" s="56" t="s">
        <v>132</v>
      </c>
      <c r="E119" s="64" t="s">
        <v>97</v>
      </c>
      <c r="F119" s="25"/>
      <c r="G119" s="42"/>
      <c r="H119" s="42"/>
    </row>
    <row r="120" spans="1:8" ht="7.5" customHeight="1" hidden="1" thickBot="1">
      <c r="A120" s="43"/>
      <c r="B120" s="44"/>
      <c r="C120" s="45"/>
      <c r="D120" s="46"/>
      <c r="E120" s="47"/>
      <c r="F120" s="48"/>
      <c r="G120" s="49"/>
      <c r="H120" s="49"/>
    </row>
    <row r="121" spans="1:8" ht="29.25" hidden="1" thickBot="1">
      <c r="A121" s="12">
        <f>A115+1</f>
        <v>32</v>
      </c>
      <c r="B121" s="50" t="s">
        <v>133</v>
      </c>
      <c r="C121" s="51" t="s">
        <v>14</v>
      </c>
      <c r="D121" s="84" t="s">
        <v>106</v>
      </c>
      <c r="E121" s="54" t="s">
        <v>107</v>
      </c>
      <c r="F121" s="21">
        <f>VLOOKUP(D121,ПГ!$L$7:$N$21,3,TRUE)+VLOOKUP(D121,ПГ!$L$7:$N$21,2,TRUE)+ПГ!$M$22</f>
        <v>16130</v>
      </c>
      <c r="G121" s="42">
        <f>ROUND(F121*0.975,-1)</f>
        <v>15730</v>
      </c>
      <c r="H121" s="42">
        <f>ROUND(F121*0.95,-1)</f>
        <v>15320</v>
      </c>
    </row>
    <row r="122" spans="1:8" ht="28.5" hidden="1" thickBot="1">
      <c r="A122" s="12">
        <f>A121+1</f>
        <v>33</v>
      </c>
      <c r="B122" s="50" t="s">
        <v>133</v>
      </c>
      <c r="C122" s="51" t="s">
        <v>14</v>
      </c>
      <c r="D122" s="84" t="s">
        <v>128</v>
      </c>
      <c r="E122" s="54" t="s">
        <v>109</v>
      </c>
      <c r="F122" s="21">
        <f>VLOOKUP(D122,ПГ!$L$7:$N$21,3,TRUE)+VLOOKUP(D122,ПГ!$L$7:$N$21,2,TRUE)+ПГ!$M$22</f>
        <v>16130</v>
      </c>
      <c r="G122" s="42">
        <f>ROUND(F122*0.975,-1)</f>
        <v>15730</v>
      </c>
      <c r="H122" s="42">
        <f>ROUND(F122*0.95,-1)</f>
        <v>15320</v>
      </c>
    </row>
    <row r="123" spans="1:8" ht="26.25" hidden="1" thickBot="1">
      <c r="A123" s="12">
        <f>A122+1</f>
        <v>34</v>
      </c>
      <c r="B123" s="67" t="s">
        <v>102</v>
      </c>
      <c r="C123" s="51" t="s">
        <v>14</v>
      </c>
      <c r="D123" s="10" t="s">
        <v>103</v>
      </c>
      <c r="E123" s="54" t="s">
        <v>104</v>
      </c>
      <c r="F123" s="21">
        <f>VLOOKUP(D123,ПГ!$L$7:$N$21,3,TRUE)+VLOOKUP(D123,ПГ!$L$7:$N$21,2,TRUE)+ПГ!$M$22</f>
        <v>17050</v>
      </c>
      <c r="G123" s="42">
        <f>ROUND(F123*0.975,-1)</f>
        <v>16620</v>
      </c>
      <c r="H123" s="42">
        <f>ROUND(F123*0.95,-1)</f>
        <v>16200</v>
      </c>
    </row>
    <row r="124" spans="1:8" ht="18" hidden="1" thickBot="1">
      <c r="A124" s="23">
        <f>A123+1</f>
        <v>35</v>
      </c>
      <c r="B124" s="67" t="s">
        <v>134</v>
      </c>
      <c r="C124" s="85" t="s">
        <v>14</v>
      </c>
      <c r="D124" s="86" t="s">
        <v>111</v>
      </c>
      <c r="E124" s="54" t="s">
        <v>112</v>
      </c>
      <c r="F124" s="25">
        <f>VLOOKUP(D124,ПГ!$L$7:$N$21,3,TRUE)+VLOOKUP(D124,ПГ!$L$7:$N$21,2,TRUE)+ПГ!$M$22</f>
        <v>22540</v>
      </c>
      <c r="G124" s="42">
        <f>ROUND(F124*0.975,-1)</f>
        <v>21980</v>
      </c>
      <c r="H124" s="42">
        <f>ROUND(F124*0.95,-1)</f>
        <v>21410</v>
      </c>
    </row>
    <row r="125" spans="1:8" s="4" customFormat="1" ht="84" customHeight="1" hidden="1" thickBot="1">
      <c r="A125" s="23"/>
      <c r="B125" s="40" t="s">
        <v>129</v>
      </c>
      <c r="C125" s="18" t="s">
        <v>14</v>
      </c>
      <c r="D125" s="41"/>
      <c r="E125" s="20"/>
      <c r="F125" s="25"/>
      <c r="G125" s="42"/>
      <c r="H125" s="42"/>
    </row>
    <row r="126" ht="12.75" hidden="1">
      <c r="E126" s="1"/>
    </row>
    <row r="127" ht="12.75" hidden="1">
      <c r="E127" s="1"/>
    </row>
    <row r="128" ht="15.75" hidden="1">
      <c r="A128" s="77"/>
    </row>
    <row r="129" spans="1:8" s="4" customFormat="1" ht="93.75" customHeight="1" hidden="1">
      <c r="A129" s="77"/>
      <c r="B129" s="1"/>
      <c r="C129" s="1"/>
      <c r="D129" s="1"/>
      <c r="E129" s="2"/>
      <c r="F129" s="933"/>
      <c r="G129" s="1"/>
      <c r="H129" s="1"/>
    </row>
    <row r="130" ht="15.75" hidden="1">
      <c r="A130" s="77"/>
    </row>
    <row r="131" ht="15.75" hidden="1">
      <c r="A131" s="77"/>
    </row>
    <row r="132" ht="16.5" hidden="1" thickBot="1">
      <c r="A132" s="77"/>
    </row>
    <row r="133" spans="1:8" ht="13.5" customHeight="1" hidden="1" thickBot="1">
      <c r="A133" s="924" t="s">
        <v>135</v>
      </c>
      <c r="B133" s="924"/>
      <c r="C133" s="924"/>
      <c r="D133" s="924"/>
      <c r="E133" s="87" t="s">
        <v>136</v>
      </c>
      <c r="F133" s="921" t="s">
        <v>137</v>
      </c>
      <c r="G133" s="921"/>
      <c r="H133" s="921"/>
    </row>
    <row r="134" spans="1:8" ht="33" customHeight="1" hidden="1" thickBot="1">
      <c r="A134" s="10" t="s">
        <v>7</v>
      </c>
      <c r="B134" s="922" t="s">
        <v>0</v>
      </c>
      <c r="C134" s="923" t="s">
        <v>1</v>
      </c>
      <c r="D134" s="923" t="s">
        <v>2</v>
      </c>
      <c r="E134" s="923" t="s">
        <v>3</v>
      </c>
      <c r="F134" s="920" t="s">
        <v>8</v>
      </c>
      <c r="G134" s="920"/>
      <c r="H134" s="920"/>
    </row>
    <row r="135" spans="1:8" ht="18.75" customHeight="1" hidden="1" thickBot="1">
      <c r="A135" s="12"/>
      <c r="B135" s="922"/>
      <c r="C135" s="923" t="s">
        <v>9</v>
      </c>
      <c r="D135" s="923"/>
      <c r="E135" s="923"/>
      <c r="F135" s="13" t="s">
        <v>10</v>
      </c>
      <c r="G135" s="14" t="s">
        <v>11</v>
      </c>
      <c r="H135" s="15" t="s">
        <v>12</v>
      </c>
    </row>
    <row r="136" spans="1:8" ht="36.75" hidden="1" thickBot="1">
      <c r="A136" s="43"/>
      <c r="B136" s="88" t="s">
        <v>138</v>
      </c>
      <c r="C136" s="89"/>
      <c r="D136" s="90"/>
      <c r="E136" s="47"/>
      <c r="F136" s="48"/>
      <c r="G136" s="49"/>
      <c r="H136" s="49"/>
    </row>
    <row r="137" spans="1:8" ht="36" customHeight="1" hidden="1" thickBot="1">
      <c r="A137" s="12">
        <f>A123+1</f>
        <v>35</v>
      </c>
      <c r="B137" s="67" t="s">
        <v>139</v>
      </c>
      <c r="C137" s="85" t="s">
        <v>14</v>
      </c>
      <c r="D137" s="91" t="s">
        <v>136</v>
      </c>
      <c r="E137" s="92" t="s">
        <v>140</v>
      </c>
      <c r="F137" s="21">
        <f>VLOOKUP(D137,СГ1!$A$4:$I$23,6,TRUE)</f>
        <v>8690</v>
      </c>
      <c r="G137" s="42">
        <f aca="true" t="shared" si="14" ref="G137:G143">ROUND(F137*0.975,-1)</f>
        <v>8470</v>
      </c>
      <c r="H137" s="42">
        <f aca="true" t="shared" si="15" ref="H137:H143">ROUND(F137*0.95,-1)</f>
        <v>8260</v>
      </c>
    </row>
    <row r="138" spans="1:8" ht="22.5" customHeight="1" hidden="1" thickBot="1">
      <c r="A138" s="12"/>
      <c r="B138" s="93" t="s">
        <v>141</v>
      </c>
      <c r="C138" s="85" t="s">
        <v>14</v>
      </c>
      <c r="D138" s="91" t="s">
        <v>136</v>
      </c>
      <c r="E138" s="92" t="s">
        <v>140</v>
      </c>
      <c r="F138" s="21">
        <f>VLOOKUP(D138,СГ1!$A$4:$I$23,2,TRUE)</f>
        <v>8690</v>
      </c>
      <c r="G138" s="94">
        <f t="shared" si="14"/>
        <v>8470</v>
      </c>
      <c r="H138" s="94">
        <f t="shared" si="15"/>
        <v>8260</v>
      </c>
    </row>
    <row r="139" spans="1:8" ht="36" customHeight="1" hidden="1" thickBot="1">
      <c r="A139" s="12">
        <f>A137+1</f>
        <v>36</v>
      </c>
      <c r="B139" s="67" t="s">
        <v>142</v>
      </c>
      <c r="C139" s="85" t="s">
        <v>14</v>
      </c>
      <c r="D139" s="41" t="s">
        <v>143</v>
      </c>
      <c r="E139" s="54" t="s">
        <v>97</v>
      </c>
      <c r="F139" s="21">
        <f>VLOOKUP(D139,СГ1!$A$4:$I$23,6,TRUE)</f>
        <v>7570</v>
      </c>
      <c r="G139" s="42">
        <f t="shared" si="14"/>
        <v>7380</v>
      </c>
      <c r="H139" s="42">
        <f t="shared" si="15"/>
        <v>7190</v>
      </c>
    </row>
    <row r="140" spans="1:8" ht="36" customHeight="1" hidden="1" thickBot="1">
      <c r="A140" s="12"/>
      <c r="B140" s="93" t="s">
        <v>141</v>
      </c>
      <c r="C140" s="85" t="s">
        <v>14</v>
      </c>
      <c r="D140" s="41" t="s">
        <v>143</v>
      </c>
      <c r="E140" s="54" t="s">
        <v>97</v>
      </c>
      <c r="F140" s="21">
        <f>VLOOKUP(D140,СГ1!$A$4:$I$23,2,TRUE)</f>
        <v>6550</v>
      </c>
      <c r="G140" s="42">
        <f t="shared" si="14"/>
        <v>6390</v>
      </c>
      <c r="H140" s="42">
        <f t="shared" si="15"/>
        <v>6220</v>
      </c>
    </row>
    <row r="141" spans="1:8" ht="24" customHeight="1" hidden="1" thickBot="1">
      <c r="A141" s="12">
        <f>A139+1</f>
        <v>37</v>
      </c>
      <c r="B141" s="67" t="s">
        <v>144</v>
      </c>
      <c r="C141" s="85" t="s">
        <v>14</v>
      </c>
      <c r="D141" s="24" t="s">
        <v>145</v>
      </c>
      <c r="E141" s="54" t="s">
        <v>97</v>
      </c>
      <c r="F141" s="21">
        <f>VLOOKUP(D141,СГ1!$A$4:$I$23,6,TRUE)</f>
        <v>9040</v>
      </c>
      <c r="G141" s="42">
        <f t="shared" si="14"/>
        <v>8810</v>
      </c>
      <c r="H141" s="42">
        <f t="shared" si="15"/>
        <v>8590</v>
      </c>
    </row>
    <row r="142" spans="1:8" ht="24" customHeight="1" hidden="1" thickBot="1">
      <c r="A142" s="12"/>
      <c r="B142" s="93" t="s">
        <v>141</v>
      </c>
      <c r="C142" s="85" t="s">
        <v>14</v>
      </c>
      <c r="D142" s="24" t="s">
        <v>145</v>
      </c>
      <c r="E142" s="54" t="s">
        <v>97</v>
      </c>
      <c r="F142" s="21">
        <f>VLOOKUP(D142,СГ1!$A$4:$I$23,2,TRUE)</f>
        <v>8060</v>
      </c>
      <c r="G142" s="42">
        <f t="shared" si="14"/>
        <v>7860</v>
      </c>
      <c r="H142" s="42">
        <f t="shared" si="15"/>
        <v>7660</v>
      </c>
    </row>
    <row r="143" spans="1:8" ht="25.5" customHeight="1" hidden="1" thickBot="1">
      <c r="A143" s="12">
        <f>A141+1</f>
        <v>38</v>
      </c>
      <c r="B143" s="67" t="s">
        <v>146</v>
      </c>
      <c r="C143" s="85" t="s">
        <v>18</v>
      </c>
      <c r="D143" s="41" t="s">
        <v>147</v>
      </c>
      <c r="E143" s="52" t="s">
        <v>148</v>
      </c>
      <c r="F143" s="21">
        <f>VLOOKUP(D143,СГ1!$A$4:$I$23,6,TRUE)</f>
        <v>17190</v>
      </c>
      <c r="G143" s="42">
        <f t="shared" si="14"/>
        <v>16760</v>
      </c>
      <c r="H143" s="42">
        <f t="shared" si="15"/>
        <v>16330</v>
      </c>
    </row>
    <row r="144" spans="1:8" ht="41.25" customHeight="1" hidden="1" thickBot="1">
      <c r="A144" s="43"/>
      <c r="B144" s="88" t="s">
        <v>149</v>
      </c>
      <c r="C144" s="89"/>
      <c r="D144" s="90"/>
      <c r="E144" s="47"/>
      <c r="F144" s="48"/>
      <c r="G144" s="49"/>
      <c r="H144" s="49"/>
    </row>
    <row r="145" spans="1:8" ht="36" customHeight="1" hidden="1" thickBot="1">
      <c r="A145" s="11">
        <f>A143+1</f>
        <v>39</v>
      </c>
      <c r="B145" s="95" t="s">
        <v>139</v>
      </c>
      <c r="C145" s="96" t="s">
        <v>14</v>
      </c>
      <c r="D145" s="41" t="s">
        <v>136</v>
      </c>
      <c r="E145" s="92" t="s">
        <v>140</v>
      </c>
      <c r="F145" s="97">
        <f>VLOOKUP(D145,СГ1!$A$4:$I$23,3,TRUE)+VLOOKUP(D145,СГ1!$A$4:$I$23,2,TRUE)</f>
        <v>13270</v>
      </c>
      <c r="G145" s="94">
        <f>ROUND(F145*0.975,-1)</f>
        <v>12940</v>
      </c>
      <c r="H145" s="94">
        <f>ROUND(F145*0.95,-1)</f>
        <v>12610</v>
      </c>
    </row>
    <row r="146" spans="1:11" ht="24.75" customHeight="1" hidden="1" thickBot="1">
      <c r="A146" s="98"/>
      <c r="B146" s="99" t="s">
        <v>150</v>
      </c>
      <c r="C146" s="100"/>
      <c r="D146" s="100"/>
      <c r="E146" s="54"/>
      <c r="F146" s="97">
        <f>СГ1!C24</f>
        <v>1930</v>
      </c>
      <c r="G146" s="94"/>
      <c r="H146" s="94"/>
      <c r="J146" s="101" t="s">
        <v>151</v>
      </c>
      <c r="K146" s="85" t="s">
        <v>152</v>
      </c>
    </row>
    <row r="147" spans="1:16" ht="26.25" customHeight="1" hidden="1" thickBot="1">
      <c r="A147" s="98"/>
      <c r="B147" s="93" t="s">
        <v>141</v>
      </c>
      <c r="C147" s="96" t="s">
        <v>153</v>
      </c>
      <c r="D147" s="100" t="s">
        <v>136</v>
      </c>
      <c r="E147" s="92" t="s">
        <v>140</v>
      </c>
      <c r="F147" s="97">
        <f>VLOOKUP(D147,СГ1!$A$4:$I$23,2,TRUE)</f>
        <v>8690</v>
      </c>
      <c r="G147" s="94">
        <f>ROUND(F147*0.975,-1)</f>
        <v>8470</v>
      </c>
      <c r="H147" s="94">
        <f>ROUND(F147*0.95,-1)</f>
        <v>8260</v>
      </c>
      <c r="J147" s="101" t="s">
        <v>154</v>
      </c>
      <c r="K147" s="85" t="s">
        <v>155</v>
      </c>
      <c r="L147" s="100" t="s">
        <v>136</v>
      </c>
      <c r="M147" s="92" t="s">
        <v>140</v>
      </c>
      <c r="N147" s="97">
        <f>VLOOKUP(L147,СГ1!$A$4:$I$23,4,TRUE)+VLOOKUP(L147,СГ1!$A$4:$I$23,2,TRUE)</f>
        <v>8690</v>
      </c>
      <c r="O147" s="94">
        <f>ROUND(N147*0.975,-1)</f>
        <v>8470</v>
      </c>
      <c r="P147" s="94">
        <f>ROUND(N147*0.95,-1)</f>
        <v>8260</v>
      </c>
    </row>
    <row r="148" spans="1:8" ht="35.25" customHeight="1" hidden="1" thickBot="1">
      <c r="A148" s="102"/>
      <c r="B148" s="103" t="s">
        <v>156</v>
      </c>
      <c r="C148" s="104" t="s">
        <v>157</v>
      </c>
      <c r="D148" s="105" t="s">
        <v>136</v>
      </c>
      <c r="E148" s="106" t="s">
        <v>140</v>
      </c>
      <c r="F148" s="38"/>
      <c r="G148" s="39"/>
      <c r="H148" s="39"/>
    </row>
    <row r="149" spans="1:8" ht="37.5" customHeight="1" hidden="1" thickBot="1">
      <c r="A149" s="102"/>
      <c r="B149" s="103" t="s">
        <v>158</v>
      </c>
      <c r="C149" s="107" t="s">
        <v>159</v>
      </c>
      <c r="D149" s="105" t="s">
        <v>160</v>
      </c>
      <c r="E149" s="106" t="s">
        <v>140</v>
      </c>
      <c r="F149" s="108"/>
      <c r="G149" s="109"/>
      <c r="H149" s="109"/>
    </row>
    <row r="150" spans="1:8" ht="13.5" hidden="1" thickBot="1">
      <c r="A150" s="110"/>
      <c r="B150" s="111"/>
      <c r="C150" s="112"/>
      <c r="D150" s="113"/>
      <c r="E150" s="113"/>
      <c r="F150" s="113"/>
      <c r="G150" s="113"/>
      <c r="H150" s="113"/>
    </row>
    <row r="151" spans="1:8" ht="26.25" customHeight="1" hidden="1" thickBot="1">
      <c r="A151" s="98">
        <f>A145+1</f>
        <v>40</v>
      </c>
      <c r="B151" s="114" t="s">
        <v>161</v>
      </c>
      <c r="C151" s="100" t="s">
        <v>14</v>
      </c>
      <c r="D151" s="100" t="s">
        <v>143</v>
      </c>
      <c r="E151" s="52" t="s">
        <v>97</v>
      </c>
      <c r="F151" s="97">
        <f>VLOOKUP(D151,СГ1!$A$4:$I$23,3,TRUE)+VLOOKUP(D151,СГ1!$A$4:$I$23,2,TRUE)</f>
        <v>11130</v>
      </c>
      <c r="G151" s="94">
        <f>ROUND(F151*0.975,-1)</f>
        <v>10850</v>
      </c>
      <c r="H151" s="94">
        <f>ROUND(F151*0.95,-1)</f>
        <v>10570</v>
      </c>
    </row>
    <row r="152" spans="1:8" ht="24.75" customHeight="1" hidden="1" thickBot="1">
      <c r="A152" s="12">
        <f>A151+1</f>
        <v>41</v>
      </c>
      <c r="B152" s="114" t="s">
        <v>162</v>
      </c>
      <c r="C152" s="100" t="s">
        <v>14</v>
      </c>
      <c r="D152" s="100" t="s">
        <v>36</v>
      </c>
      <c r="E152" s="52" t="s">
        <v>97</v>
      </c>
      <c r="F152" s="97">
        <f>VLOOKUP(D152,СГ1!$A$4:$I$23,3,TRUE)+VLOOKUP(D152,СГ1!$A$4:$I$23,2,TRUE)</f>
        <v>18480</v>
      </c>
      <c r="G152" s="94">
        <f>ROUND(F152*0.975,-1)</f>
        <v>18020</v>
      </c>
      <c r="H152" s="94">
        <f>ROUND(F152*0.95,-1)</f>
        <v>17560</v>
      </c>
    </row>
    <row r="153" spans="1:11" ht="18.75" customHeight="1" hidden="1" thickBot="1">
      <c r="A153" s="98"/>
      <c r="B153" s="99" t="s">
        <v>150</v>
      </c>
      <c r="C153" s="100"/>
      <c r="D153" s="100"/>
      <c r="E153" s="92"/>
      <c r="F153" s="21">
        <f>СГ1!C24</f>
        <v>1930</v>
      </c>
      <c r="G153" s="42"/>
      <c r="H153" s="42"/>
      <c r="J153" s="101" t="s">
        <v>151</v>
      </c>
      <c r="K153" s="85" t="s">
        <v>152</v>
      </c>
    </row>
    <row r="154" spans="1:16" ht="24.75" customHeight="1" hidden="1" thickBot="1">
      <c r="A154" s="98"/>
      <c r="B154" s="93" t="s">
        <v>163</v>
      </c>
      <c r="C154" s="96" t="s">
        <v>153</v>
      </c>
      <c r="D154" s="100" t="s">
        <v>143</v>
      </c>
      <c r="E154" s="54" t="s">
        <v>164</v>
      </c>
      <c r="F154" s="97">
        <f>VLOOKUP(D154,СГ1!$A$4:$I$23,2,TRUE)</f>
        <v>6550</v>
      </c>
      <c r="G154" s="94">
        <f>ROUND(F154*0.975,-1)</f>
        <v>6390</v>
      </c>
      <c r="H154" s="94">
        <f>ROUND(F154*0.95,-1)</f>
        <v>6220</v>
      </c>
      <c r="J154" s="101" t="s">
        <v>154</v>
      </c>
      <c r="K154" s="85" t="s">
        <v>155</v>
      </c>
      <c r="L154" s="100" t="s">
        <v>143</v>
      </c>
      <c r="M154" s="54" t="s">
        <v>164</v>
      </c>
      <c r="N154" s="97">
        <f>VLOOKUP(L154,СГ1!$A$4:$I$23,4,TRUE)+VLOOKUP(L154,СГ1!$A$4:$I$23,2,TRUE)</f>
        <v>6550</v>
      </c>
      <c r="O154" s="94">
        <f>ROUND(N154*0.975,-1)</f>
        <v>6390</v>
      </c>
      <c r="P154" s="94">
        <f>ROUND(N154*0.95,-1)</f>
        <v>6220</v>
      </c>
    </row>
    <row r="155" spans="1:16" ht="24.75" customHeight="1" hidden="1" thickBot="1">
      <c r="A155" s="98"/>
      <c r="B155" s="93" t="s">
        <v>165</v>
      </c>
      <c r="C155" s="96" t="s">
        <v>153</v>
      </c>
      <c r="D155" s="100" t="s">
        <v>36</v>
      </c>
      <c r="E155" s="54" t="s">
        <v>164</v>
      </c>
      <c r="F155" s="97">
        <f>VLOOKUP(D155,СГ1!$A$4:$I$23,2,TRUE)</f>
        <v>13900</v>
      </c>
      <c r="G155" s="94">
        <f>ROUND(F155*0.975,-1)</f>
        <v>13550</v>
      </c>
      <c r="H155" s="94">
        <f>ROUND(F155*0.95,-1)</f>
        <v>13210</v>
      </c>
      <c r="J155" s="115"/>
      <c r="K155" s="116"/>
      <c r="L155" s="117"/>
      <c r="M155" s="118"/>
      <c r="N155" s="119"/>
      <c r="O155" s="120"/>
      <c r="P155" s="120"/>
    </row>
    <row r="156" spans="1:8" ht="36.75" customHeight="1" hidden="1" thickBot="1">
      <c r="A156" s="121"/>
      <c r="B156" s="122" t="s">
        <v>156</v>
      </c>
      <c r="C156" s="123" t="s">
        <v>157</v>
      </c>
      <c r="D156" s="124" t="s">
        <v>143</v>
      </c>
      <c r="E156" s="30" t="s">
        <v>97</v>
      </c>
      <c r="F156" s="125"/>
      <c r="G156" s="126"/>
      <c r="H156" s="126"/>
    </row>
    <row r="157" spans="1:8" ht="36.75" customHeight="1" hidden="1" thickBot="1">
      <c r="A157" s="121"/>
      <c r="B157" s="122" t="s">
        <v>158</v>
      </c>
      <c r="C157" s="127" t="s">
        <v>166</v>
      </c>
      <c r="D157" s="124" t="s">
        <v>167</v>
      </c>
      <c r="E157" s="128" t="s">
        <v>97</v>
      </c>
      <c r="F157" s="31"/>
      <c r="G157" s="32"/>
      <c r="H157" s="32"/>
    </row>
    <row r="158" spans="1:11" ht="13.5" customHeight="1" hidden="1" thickBot="1">
      <c r="A158" s="110"/>
      <c r="B158" s="111"/>
      <c r="C158" s="112"/>
      <c r="D158" s="113"/>
      <c r="E158" s="113"/>
      <c r="F158" s="113"/>
      <c r="G158" s="113"/>
      <c r="H158" s="113"/>
      <c r="K158" s="129"/>
    </row>
    <row r="159" spans="1:8" ht="37.5" hidden="1" thickBot="1">
      <c r="A159" s="98">
        <f>A152+1</f>
        <v>42</v>
      </c>
      <c r="B159" s="114" t="s">
        <v>168</v>
      </c>
      <c r="C159" s="100" t="s">
        <v>14</v>
      </c>
      <c r="D159" s="130" t="s">
        <v>145</v>
      </c>
      <c r="E159" s="52" t="s">
        <v>97</v>
      </c>
      <c r="F159" s="97">
        <f>VLOOKUP(D159,СГ1!$A$4:$I$23,3,TRUE)+VLOOKUP(D159,СГ1!$A$4:$I$23,2,TRUE)</f>
        <v>12640</v>
      </c>
      <c r="G159" s="94">
        <f>ROUND(F159*0.975,-1)</f>
        <v>12320</v>
      </c>
      <c r="H159" s="94">
        <f>ROUND(F159*0.95,-1)</f>
        <v>12010</v>
      </c>
    </row>
    <row r="160" spans="1:8" ht="24.75" hidden="1" thickBot="1">
      <c r="A160" s="12">
        <f>A159+1</f>
        <v>43</v>
      </c>
      <c r="B160" s="114" t="s">
        <v>169</v>
      </c>
      <c r="C160" s="100">
        <v>1</v>
      </c>
      <c r="D160" s="130" t="s">
        <v>36</v>
      </c>
      <c r="E160" s="52" t="s">
        <v>97</v>
      </c>
      <c r="F160" s="97">
        <f>VLOOKUP(D160,СГ1!$A$4:$I$23,3,TRUE)+VLOOKUP(D160,СГ1!$A$4:$I$23,2,TRUE)</f>
        <v>18480</v>
      </c>
      <c r="G160" s="94">
        <f>ROUND(F160*0.975,-1)</f>
        <v>18020</v>
      </c>
      <c r="H160" s="94">
        <f>ROUND(F160*0.95,-1)</f>
        <v>17560</v>
      </c>
    </row>
    <row r="161" spans="1:11" ht="15" customHeight="1" hidden="1" thickBot="1">
      <c r="A161" s="98"/>
      <c r="B161" s="99" t="s">
        <v>150</v>
      </c>
      <c r="C161" s="100"/>
      <c r="D161" s="100"/>
      <c r="E161" s="52"/>
      <c r="F161" s="97">
        <f>СГ1!C24</f>
        <v>1930</v>
      </c>
      <c r="G161" s="94"/>
      <c r="H161" s="94"/>
      <c r="J161" s="101" t="s">
        <v>151</v>
      </c>
      <c r="K161" s="85" t="s">
        <v>152</v>
      </c>
    </row>
    <row r="162" spans="1:16" ht="24" customHeight="1" hidden="1" thickBot="1">
      <c r="A162" s="98"/>
      <c r="B162" s="93" t="s">
        <v>163</v>
      </c>
      <c r="C162" s="96" t="s">
        <v>153</v>
      </c>
      <c r="D162" s="130" t="s">
        <v>145</v>
      </c>
      <c r="E162" s="54" t="s">
        <v>164</v>
      </c>
      <c r="F162" s="21">
        <f>VLOOKUP(D162,СГ1!$A$4:$I$23,2,TRUE)</f>
        <v>8060</v>
      </c>
      <c r="G162" s="42">
        <f>ROUND(F162*0.975,-1)</f>
        <v>7860</v>
      </c>
      <c r="H162" s="42">
        <f>ROUND(F162*0.95,-1)</f>
        <v>7660</v>
      </c>
      <c r="J162" s="101" t="s">
        <v>154</v>
      </c>
      <c r="K162" s="85" t="s">
        <v>155</v>
      </c>
      <c r="L162" s="130" t="s">
        <v>145</v>
      </c>
      <c r="M162" s="54" t="s">
        <v>164</v>
      </c>
      <c r="N162" s="97">
        <f>VLOOKUP(L162,СГ1!$A$4:$I$23,4,TRUE)+VLOOKUP(L162,СГ1!$A$4:$I$23,2,TRUE)</f>
        <v>8060</v>
      </c>
      <c r="O162" s="94">
        <f>ROUND(N162*0.975,-1)</f>
        <v>7860</v>
      </c>
      <c r="P162" s="94">
        <f>ROUND(N162*0.95,-1)</f>
        <v>7660</v>
      </c>
    </row>
    <row r="163" spans="1:16" ht="24.75" customHeight="1" hidden="1" thickBot="1">
      <c r="A163" s="98"/>
      <c r="B163" s="93" t="s">
        <v>170</v>
      </c>
      <c r="C163" s="96" t="s">
        <v>153</v>
      </c>
      <c r="D163" s="130" t="s">
        <v>36</v>
      </c>
      <c r="E163" s="54" t="s">
        <v>164</v>
      </c>
      <c r="F163" s="21">
        <f>VLOOKUP(D163,СГ1!$A$4:$I$23,2,TRUE)</f>
        <v>13900</v>
      </c>
      <c r="G163" s="42">
        <f>ROUND(F163*0.975,-1)</f>
        <v>13550</v>
      </c>
      <c r="H163" s="42">
        <f>ROUND(F163*0.95,-1)</f>
        <v>13210</v>
      </c>
      <c r="J163" s="115"/>
      <c r="K163" s="116"/>
      <c r="L163" s="131"/>
      <c r="M163" s="118"/>
      <c r="N163" s="119"/>
      <c r="O163" s="120"/>
      <c r="P163" s="120"/>
    </row>
    <row r="164" spans="1:8" ht="42.75" customHeight="1" hidden="1" thickBot="1">
      <c r="A164" s="121"/>
      <c r="B164" s="122" t="s">
        <v>156</v>
      </c>
      <c r="C164" s="123" t="s">
        <v>157</v>
      </c>
      <c r="D164" s="132" t="s">
        <v>145</v>
      </c>
      <c r="E164" s="30" t="s">
        <v>97</v>
      </c>
      <c r="F164" s="125"/>
      <c r="G164" s="126"/>
      <c r="H164" s="126"/>
    </row>
    <row r="165" spans="1:8" ht="34.5" customHeight="1" hidden="1" thickBot="1">
      <c r="A165" s="121"/>
      <c r="B165" s="122" t="s">
        <v>158</v>
      </c>
      <c r="C165" s="127" t="s">
        <v>166</v>
      </c>
      <c r="D165" s="132" t="s">
        <v>171</v>
      </c>
      <c r="E165" s="30" t="s">
        <v>97</v>
      </c>
      <c r="F165" s="125"/>
      <c r="G165" s="126"/>
      <c r="H165" s="126"/>
    </row>
    <row r="166" spans="1:8" ht="18.75" customHeight="1" hidden="1" thickBot="1">
      <c r="A166" s="110"/>
      <c r="B166" s="111"/>
      <c r="C166" s="112"/>
      <c r="D166" s="113"/>
      <c r="E166" s="113"/>
      <c r="F166" s="113"/>
      <c r="G166" s="113"/>
      <c r="H166" s="113"/>
    </row>
    <row r="167" spans="1:11" ht="36" customHeight="1" hidden="1" thickBot="1">
      <c r="A167" s="98">
        <f>A160+1</f>
        <v>44</v>
      </c>
      <c r="B167" s="133" t="s">
        <v>146</v>
      </c>
      <c r="C167" s="134" t="s">
        <v>18</v>
      </c>
      <c r="D167" s="100" t="s">
        <v>147</v>
      </c>
      <c r="E167" s="54" t="s">
        <v>148</v>
      </c>
      <c r="F167" s="97">
        <f>VLOOKUP(D167,СГ1!$A$4:$I$23,3,TRUE)+VLOOKUP(D167,СГ1!$A$4:$I$23,2,TRUE)</f>
        <v>21780</v>
      </c>
      <c r="G167" s="94">
        <f>ROUND(F167*0.975,-1)</f>
        <v>21240</v>
      </c>
      <c r="H167" s="94">
        <f>ROUND(F167*0.95,-1)</f>
        <v>20690</v>
      </c>
      <c r="J167" s="101" t="s">
        <v>172</v>
      </c>
      <c r="K167" s="101" t="s">
        <v>173</v>
      </c>
    </row>
    <row r="168" spans="1:16" ht="24.75" customHeight="1" hidden="1" thickBot="1">
      <c r="A168" s="98"/>
      <c r="B168" s="99" t="s">
        <v>150</v>
      </c>
      <c r="C168" s="100"/>
      <c r="D168" s="100"/>
      <c r="E168" s="52"/>
      <c r="F168" s="97">
        <f>СГ1!C24</f>
        <v>1930</v>
      </c>
      <c r="G168" s="94"/>
      <c r="H168" s="94"/>
      <c r="J168" s="101" t="s">
        <v>172</v>
      </c>
      <c r="K168" s="101" t="s">
        <v>174</v>
      </c>
      <c r="L168" s="100" t="s">
        <v>136</v>
      </c>
      <c r="M168" s="92" t="s">
        <v>140</v>
      </c>
      <c r="N168" s="97">
        <f>VLOOKUP(L168,СГ1!$A$4:$I$23,4,TRUE)+VLOOKUP(L168,СГ1!$A$4:$I$23,2,TRUE)</f>
        <v>8690</v>
      </c>
      <c r="O168" s="94">
        <f>ROUND(N168*0.975,-1)</f>
        <v>8470</v>
      </c>
      <c r="P168" s="94">
        <f>ROUND(N168*0.95,-1)</f>
        <v>8260</v>
      </c>
    </row>
    <row r="169" spans="1:11" ht="31.5" customHeight="1" hidden="1" thickBot="1">
      <c r="A169" s="98"/>
      <c r="B169" s="93" t="s">
        <v>141</v>
      </c>
      <c r="C169" s="96" t="s">
        <v>153</v>
      </c>
      <c r="D169" s="100" t="s">
        <v>136</v>
      </c>
      <c r="E169" s="92" t="s">
        <v>140</v>
      </c>
      <c r="F169" s="97">
        <f>VLOOKUP(D169,СГ1!$A$4:$I$23,2,TRUE)</f>
        <v>8690</v>
      </c>
      <c r="G169" s="94">
        <f>ROUND(F169*0.975,-1)</f>
        <v>8470</v>
      </c>
      <c r="H169" s="94">
        <f>ROUND(F169*0.95,-1)</f>
        <v>8260</v>
      </c>
      <c r="J169" s="101" t="s">
        <v>175</v>
      </c>
      <c r="K169" s="101" t="s">
        <v>173</v>
      </c>
    </row>
    <row r="170" spans="1:16" ht="29.25" customHeight="1" hidden="1" thickBot="1">
      <c r="A170" s="98"/>
      <c r="B170" s="93" t="s">
        <v>141</v>
      </c>
      <c r="C170" s="96" t="s">
        <v>153</v>
      </c>
      <c r="D170" s="100" t="s">
        <v>143</v>
      </c>
      <c r="E170" s="54" t="s">
        <v>164</v>
      </c>
      <c r="F170" s="97">
        <f>VLOOKUP(D170,СГ1!$A$4:$I$23,2,TRUE)</f>
        <v>6550</v>
      </c>
      <c r="G170" s="94">
        <f>ROUND(F170*0.975,-1)</f>
        <v>6390</v>
      </c>
      <c r="H170" s="94">
        <f>ROUND(F170*0.95,-1)</f>
        <v>6220</v>
      </c>
      <c r="J170" s="101" t="s">
        <v>175</v>
      </c>
      <c r="K170" s="101" t="s">
        <v>174</v>
      </c>
      <c r="L170" s="100" t="s">
        <v>143</v>
      </c>
      <c r="M170" s="54" t="s">
        <v>164</v>
      </c>
      <c r="N170" s="97">
        <f>VLOOKUP(L170,СГ1!$A$4:$I$23,4,TRUE)+VLOOKUP(L170,СГ1!$A$4:$I$23,2,TRUE)</f>
        <v>6550</v>
      </c>
      <c r="O170" s="94">
        <f>ROUND(N170*0.975,-1)</f>
        <v>6390</v>
      </c>
      <c r="P170" s="94">
        <f>ROUND(N170*0.95,-1)</f>
        <v>6220</v>
      </c>
    </row>
    <row r="171" spans="1:8" ht="37.5" customHeight="1" hidden="1" thickBot="1">
      <c r="A171" s="102"/>
      <c r="B171" s="103" t="s">
        <v>176</v>
      </c>
      <c r="C171" s="104" t="s">
        <v>177</v>
      </c>
      <c r="D171" s="105" t="s">
        <v>178</v>
      </c>
      <c r="E171" s="52" t="s">
        <v>148</v>
      </c>
      <c r="F171" s="97"/>
      <c r="G171" s="94"/>
      <c r="H171" s="94"/>
    </row>
    <row r="172" spans="1:8" ht="30" customHeight="1" hidden="1" thickBot="1">
      <c r="A172" s="102"/>
      <c r="B172" s="103" t="s">
        <v>158</v>
      </c>
      <c r="C172" s="135" t="s">
        <v>179</v>
      </c>
      <c r="D172" s="105" t="s">
        <v>180</v>
      </c>
      <c r="E172" s="92" t="s">
        <v>148</v>
      </c>
      <c r="F172" s="21"/>
      <c r="G172" s="42"/>
      <c r="H172" s="42"/>
    </row>
    <row r="173" spans="1:8" ht="18" customHeight="1" hidden="1" thickBot="1">
      <c r="A173" s="110"/>
      <c r="B173" s="111"/>
      <c r="C173" s="112"/>
      <c r="D173" s="113"/>
      <c r="E173" s="113"/>
      <c r="F173" s="113"/>
      <c r="G173" s="113"/>
      <c r="H173" s="113"/>
    </row>
    <row r="174" spans="1:11" ht="13.5" customHeight="1" hidden="1" thickBot="1">
      <c r="A174" s="98">
        <f>A167+1</f>
        <v>45</v>
      </c>
      <c r="B174" s="114" t="s">
        <v>181</v>
      </c>
      <c r="C174" s="100" t="s">
        <v>18</v>
      </c>
      <c r="D174" s="100" t="s">
        <v>182</v>
      </c>
      <c r="E174" s="52" t="s">
        <v>97</v>
      </c>
      <c r="F174" s="97">
        <f>VLOOKUP(D174,СГ1!$A$4:$I$23,3,TRUE)+VLOOKUP(D174,СГ1!$A$4:$I$23,2,TRUE)</f>
        <v>23290</v>
      </c>
      <c r="G174" s="94">
        <f>ROUND(F174*0.975,-1)</f>
        <v>22710</v>
      </c>
      <c r="H174" s="94">
        <f>ROUND(F174*0.95,-1)</f>
        <v>22130</v>
      </c>
      <c r="J174" s="101" t="s">
        <v>172</v>
      </c>
      <c r="K174" s="101" t="s">
        <v>173</v>
      </c>
    </row>
    <row r="175" spans="1:16" ht="39" hidden="1" thickBot="1">
      <c r="A175" s="98"/>
      <c r="B175" s="99" t="s">
        <v>150</v>
      </c>
      <c r="C175" s="100"/>
      <c r="D175" s="100"/>
      <c r="E175" s="52"/>
      <c r="F175" s="97">
        <f>СГ1!C24</f>
        <v>1930</v>
      </c>
      <c r="G175" s="94"/>
      <c r="H175" s="94"/>
      <c r="J175" s="101" t="s">
        <v>172</v>
      </c>
      <c r="K175" s="101" t="s">
        <v>174</v>
      </c>
      <c r="L175" s="100" t="s">
        <v>136</v>
      </c>
      <c r="M175" s="92" t="s">
        <v>140</v>
      </c>
      <c r="N175" s="97">
        <f>VLOOKUP(L175,СГ1!$A$4:$I$23,4,TRUE)+VLOOKUP(L175,СГ1!$A$4:$I$23,2,TRUE)</f>
        <v>8690</v>
      </c>
      <c r="O175" s="94">
        <f>ROUND(N175*0.975,-1)</f>
        <v>8470</v>
      </c>
      <c r="P175" s="94">
        <f>ROUND(N175*0.95,-1)</f>
        <v>8260</v>
      </c>
    </row>
    <row r="176" spans="1:11" ht="25.5" customHeight="1" hidden="1" thickBot="1">
      <c r="A176" s="98"/>
      <c r="B176" s="93" t="s">
        <v>141</v>
      </c>
      <c r="C176" s="96" t="s">
        <v>153</v>
      </c>
      <c r="D176" s="100" t="s">
        <v>136</v>
      </c>
      <c r="E176" s="92" t="s">
        <v>140</v>
      </c>
      <c r="F176" s="97">
        <f>VLOOKUP(D176,СГ1!$A$4:$I$23,2,TRUE)</f>
        <v>8690</v>
      </c>
      <c r="G176" s="94">
        <f>ROUND(F176*0.975,-1)</f>
        <v>8470</v>
      </c>
      <c r="H176" s="94">
        <f>ROUND(F176*0.95,-1)</f>
        <v>8260</v>
      </c>
      <c r="J176" s="101" t="s">
        <v>183</v>
      </c>
      <c r="K176" s="101" t="s">
        <v>173</v>
      </c>
    </row>
    <row r="177" spans="1:16" ht="24" customHeight="1" hidden="1" thickBot="1">
      <c r="A177" s="98"/>
      <c r="B177" s="93" t="s">
        <v>141</v>
      </c>
      <c r="C177" s="96" t="s">
        <v>153</v>
      </c>
      <c r="D177" s="130" t="s">
        <v>145</v>
      </c>
      <c r="E177" s="54" t="s">
        <v>164</v>
      </c>
      <c r="F177" s="21">
        <f>VLOOKUP(D177,СГ1!$A$4:$I$23,2,TRUE)</f>
        <v>8060</v>
      </c>
      <c r="G177" s="42">
        <f>ROUND(F177*0.975,-1)</f>
        <v>7860</v>
      </c>
      <c r="H177" s="42">
        <f>ROUND(F177*0.95,-1)</f>
        <v>7660</v>
      </c>
      <c r="J177" s="101" t="s">
        <v>183</v>
      </c>
      <c r="K177" s="101" t="s">
        <v>174</v>
      </c>
      <c r="L177" s="130" t="s">
        <v>145</v>
      </c>
      <c r="M177" s="54" t="s">
        <v>164</v>
      </c>
      <c r="N177" s="97">
        <f>VLOOKUP(L177,СГ1!$A$4:$I$23,4,TRUE)+VLOOKUP(L177,СГ1!$A$4:$I$23,2,TRUE)</f>
        <v>8060</v>
      </c>
      <c r="O177" s="94">
        <f>ROUND(N177*0.975,-1)</f>
        <v>7860</v>
      </c>
      <c r="P177" s="94">
        <f>ROUND(N177*0.95,-1)</f>
        <v>7660</v>
      </c>
    </row>
    <row r="178" spans="1:8" ht="51" customHeight="1" hidden="1" thickBot="1">
      <c r="A178" s="102"/>
      <c r="B178" s="103" t="s">
        <v>176</v>
      </c>
      <c r="C178" s="104" t="s">
        <v>177</v>
      </c>
      <c r="D178" s="136" t="s">
        <v>184</v>
      </c>
      <c r="E178" s="92" t="s">
        <v>185</v>
      </c>
      <c r="F178" s="21"/>
      <c r="G178" s="42"/>
      <c r="H178" s="42"/>
    </row>
    <row r="179" spans="1:8" ht="48.75" customHeight="1" hidden="1" thickBot="1">
      <c r="A179" s="102"/>
      <c r="B179" s="103" t="s">
        <v>158</v>
      </c>
      <c r="C179" s="135" t="s">
        <v>179</v>
      </c>
      <c r="D179" s="136" t="s">
        <v>184</v>
      </c>
      <c r="E179" s="54" t="s">
        <v>185</v>
      </c>
      <c r="F179" s="97"/>
      <c r="G179" s="94"/>
      <c r="H179" s="94"/>
    </row>
    <row r="180" spans="1:8" ht="15.75" hidden="1">
      <c r="A180" s="137"/>
      <c r="B180" s="138"/>
      <c r="C180" s="138"/>
      <c r="D180" s="138"/>
      <c r="E180" s="3"/>
      <c r="F180" s="932"/>
      <c r="G180" s="3"/>
      <c r="H180" s="3"/>
    </row>
    <row r="181" spans="1:8" ht="15.75" hidden="1">
      <c r="A181" s="137"/>
      <c r="B181" s="138"/>
      <c r="C181" s="138"/>
      <c r="D181" s="138"/>
      <c r="E181" s="3"/>
      <c r="F181" s="932"/>
      <c r="G181" s="3"/>
      <c r="H181" s="3"/>
    </row>
    <row r="182" spans="1:8" ht="18.75" customHeight="1" hidden="1">
      <c r="A182" s="139" t="s">
        <v>186</v>
      </c>
      <c r="B182" s="138"/>
      <c r="C182" s="138"/>
      <c r="D182" s="138"/>
      <c r="E182" s="3"/>
      <c r="F182" s="932"/>
      <c r="G182" s="3"/>
      <c r="H182" s="3"/>
    </row>
    <row r="183" spans="1:8" ht="12.75" hidden="1">
      <c r="A183" s="140" t="s">
        <v>187</v>
      </c>
      <c r="B183" s="138"/>
      <c r="C183" s="138"/>
      <c r="D183" s="138"/>
      <c r="E183" s="3"/>
      <c r="F183" s="932"/>
      <c r="G183" s="3"/>
      <c r="H183" s="3"/>
    </row>
    <row r="184" spans="1:8" ht="12.75" hidden="1">
      <c r="A184" s="140" t="s">
        <v>188</v>
      </c>
      <c r="B184" s="138"/>
      <c r="C184" s="138"/>
      <c r="D184" s="138"/>
      <c r="E184" s="3"/>
      <c r="F184" s="932"/>
      <c r="G184" s="3"/>
      <c r="H184" s="3"/>
    </row>
    <row r="185" spans="1:8" ht="12.75" customHeight="1" hidden="1" thickBot="1">
      <c r="A185" s="140"/>
      <c r="B185" s="138"/>
      <c r="C185" s="138"/>
      <c r="D185" s="138"/>
      <c r="E185" s="3"/>
      <c r="F185" s="932"/>
      <c r="G185" s="3"/>
      <c r="H185" s="3"/>
    </row>
    <row r="186" spans="1:8" ht="12.75" customHeight="1" hidden="1" thickBot="1">
      <c r="A186" s="925" t="s">
        <v>189</v>
      </c>
      <c r="B186" s="925"/>
      <c r="C186" s="925"/>
      <c r="D186" s="925"/>
      <c r="E186" s="921" t="s">
        <v>190</v>
      </c>
      <c r="F186" s="921"/>
      <c r="G186" s="921"/>
      <c r="H186" s="921"/>
    </row>
    <row r="187" spans="1:8" ht="39.75" customHeight="1" hidden="1" thickBot="1">
      <c r="A187" s="141" t="s">
        <v>7</v>
      </c>
      <c r="B187" s="926" t="s">
        <v>0</v>
      </c>
      <c r="C187" s="927" t="s">
        <v>1</v>
      </c>
      <c r="D187" s="927" t="s">
        <v>2</v>
      </c>
      <c r="E187" s="923" t="s">
        <v>3</v>
      </c>
      <c r="F187" s="920" t="s">
        <v>8</v>
      </c>
      <c r="G187" s="920"/>
      <c r="H187" s="920"/>
    </row>
    <row r="188" spans="1:8" ht="24.75" customHeight="1" hidden="1" thickBot="1">
      <c r="A188" s="142"/>
      <c r="B188" s="926"/>
      <c r="C188" s="927" t="s">
        <v>9</v>
      </c>
      <c r="D188" s="927"/>
      <c r="E188" s="923"/>
      <c r="F188" s="13" t="s">
        <v>10</v>
      </c>
      <c r="G188" s="14" t="s">
        <v>11</v>
      </c>
      <c r="H188" s="15" t="s">
        <v>12</v>
      </c>
    </row>
    <row r="189" spans="1:8" ht="36.75" hidden="1" thickBot="1">
      <c r="A189" s="110"/>
      <c r="B189" s="111" t="s">
        <v>138</v>
      </c>
      <c r="C189" s="112"/>
      <c r="D189" s="113"/>
      <c r="E189" s="47"/>
      <c r="F189" s="48"/>
      <c r="G189" s="49"/>
      <c r="H189" s="49"/>
    </row>
    <row r="190" spans="1:8" ht="26.25" hidden="1" thickBot="1">
      <c r="A190" s="98">
        <f>A174+1</f>
        <v>46</v>
      </c>
      <c r="B190" s="114" t="s">
        <v>191</v>
      </c>
      <c r="C190" s="100">
        <v>1</v>
      </c>
      <c r="D190" s="100" t="s">
        <v>192</v>
      </c>
      <c r="E190" s="54" t="s">
        <v>193</v>
      </c>
      <c r="F190" s="21">
        <f>VLOOKUP(D190,СГ1!$A$4:$I$23,6,TRUE)</f>
        <v>10990</v>
      </c>
      <c r="G190" s="42">
        <f>ROUND(F190*0.975,-1)</f>
        <v>10720</v>
      </c>
      <c r="H190" s="42">
        <f>ROUND(F190*0.95,-1)</f>
        <v>10440</v>
      </c>
    </row>
    <row r="191" spans="1:8" ht="28.5" customHeight="1" hidden="1" thickBot="1">
      <c r="A191" s="98">
        <f>A190+1</f>
        <v>47</v>
      </c>
      <c r="B191" s="114" t="s">
        <v>194</v>
      </c>
      <c r="C191" s="100">
        <v>1</v>
      </c>
      <c r="D191" s="100" t="s">
        <v>195</v>
      </c>
      <c r="E191" s="54" t="s">
        <v>196</v>
      </c>
      <c r="F191" s="21">
        <f>VLOOKUP(D191,СГ1!$A$4:$I$23,6,TRUE)</f>
        <v>11810</v>
      </c>
      <c r="G191" s="42">
        <f>ROUND(F191*0.975,-1)</f>
        <v>11510</v>
      </c>
      <c r="H191" s="42">
        <f>ROUND(F191*0.95,-1)</f>
        <v>11220</v>
      </c>
    </row>
    <row r="192" spans="1:8" ht="24" customHeight="1" hidden="1" thickBot="1">
      <c r="A192" s="98">
        <f>A191+1</f>
        <v>48</v>
      </c>
      <c r="B192" s="114" t="s">
        <v>197</v>
      </c>
      <c r="C192" s="100">
        <v>1</v>
      </c>
      <c r="D192" s="100" t="s">
        <v>198</v>
      </c>
      <c r="E192" s="54" t="s">
        <v>199</v>
      </c>
      <c r="F192" s="21">
        <f>VLOOKUP(D192,СГ1!$A$4:$I$23,6,TRUE)</f>
        <v>12200</v>
      </c>
      <c r="G192" s="42">
        <f>ROUND(F192*0.975,-1)</f>
        <v>11900</v>
      </c>
      <c r="H192" s="42">
        <f>ROUND(F192*0.95,-1)</f>
        <v>11590</v>
      </c>
    </row>
    <row r="193" spans="1:8" ht="24.75" customHeight="1" hidden="1" thickBot="1">
      <c r="A193" s="98">
        <f>A192+1</f>
        <v>49</v>
      </c>
      <c r="B193" s="114" t="s">
        <v>200</v>
      </c>
      <c r="C193" s="100">
        <v>1</v>
      </c>
      <c r="D193" s="100" t="s">
        <v>88</v>
      </c>
      <c r="E193" s="54" t="s">
        <v>201</v>
      </c>
      <c r="F193" s="21">
        <f>VLOOKUP(D193,СГ1!$A$4:$I$23,6,TRUE)</f>
        <v>13020</v>
      </c>
      <c r="G193" s="42">
        <f>ROUND(F193*0.975,-1)</f>
        <v>12690</v>
      </c>
      <c r="H193" s="42">
        <f>ROUND(F193*0.95,-1)</f>
        <v>12370</v>
      </c>
    </row>
    <row r="194" spans="1:8" ht="24.75" customHeight="1" hidden="1" thickBot="1">
      <c r="A194" s="143">
        <f>A193+1</f>
        <v>50</v>
      </c>
      <c r="B194" s="144" t="s">
        <v>202</v>
      </c>
      <c r="C194" s="145">
        <v>1</v>
      </c>
      <c r="D194" s="145" t="s">
        <v>203</v>
      </c>
      <c r="E194" s="72" t="s">
        <v>204</v>
      </c>
      <c r="F194" s="73">
        <f>VLOOKUP(D194,СГ1!$A$4:$I$23,6,TRUE)</f>
        <v>16880</v>
      </c>
      <c r="G194" s="74">
        <f>ROUND(F194*0.975,-1)</f>
        <v>16460</v>
      </c>
      <c r="H194" s="74">
        <f>ROUND(F194*0.95,-1)</f>
        <v>16040</v>
      </c>
    </row>
    <row r="195" spans="1:8" ht="37.5" customHeight="1" hidden="1" thickBot="1">
      <c r="A195" s="110"/>
      <c r="B195" s="111" t="s">
        <v>149</v>
      </c>
      <c r="C195" s="112"/>
      <c r="D195" s="113"/>
      <c r="E195" s="47"/>
      <c r="F195" s="48"/>
      <c r="G195" s="49"/>
      <c r="H195" s="49"/>
    </row>
    <row r="196" spans="1:8" ht="26.25" hidden="1" thickBot="1">
      <c r="A196" s="98">
        <f>A194+1</f>
        <v>51</v>
      </c>
      <c r="B196" s="114" t="s">
        <v>191</v>
      </c>
      <c r="C196" s="100">
        <v>1</v>
      </c>
      <c r="D196" s="100" t="s">
        <v>192</v>
      </c>
      <c r="E196" s="54" t="s">
        <v>205</v>
      </c>
      <c r="F196" s="97">
        <f>VLOOKUP(D196,СГ1!$A$4:$I$23,3,TRUE)+VLOOKUP(D196,СГ1!$A$4:$I$23,2,TRUE)</f>
        <v>18030</v>
      </c>
      <c r="G196" s="94">
        <f>ROUND(F196*0.975,-1)</f>
        <v>17580</v>
      </c>
      <c r="H196" s="94">
        <f>ROUND(F196*0.95,-1)</f>
        <v>17130</v>
      </c>
    </row>
    <row r="197" spans="1:11" ht="17.25" customHeight="1" hidden="1" thickBot="1">
      <c r="A197" s="98"/>
      <c r="B197" s="99" t="s">
        <v>150</v>
      </c>
      <c r="C197" s="100"/>
      <c r="D197" s="100"/>
      <c r="E197" s="54"/>
      <c r="F197" s="97">
        <f>СГ1!C24</f>
        <v>1930</v>
      </c>
      <c r="G197" s="94"/>
      <c r="H197" s="94"/>
      <c r="J197" s="101" t="s">
        <v>151</v>
      </c>
      <c r="K197" s="85" t="s">
        <v>152</v>
      </c>
    </row>
    <row r="198" spans="1:16" ht="26.25" customHeight="1" hidden="1" thickBot="1">
      <c r="A198" s="98"/>
      <c r="B198" s="93" t="s">
        <v>141</v>
      </c>
      <c r="C198" s="96" t="s">
        <v>153</v>
      </c>
      <c r="D198" s="100" t="s">
        <v>192</v>
      </c>
      <c r="E198" s="54" t="s">
        <v>205</v>
      </c>
      <c r="F198" s="21">
        <f>VLOOKUP(D198,СГ1!$A$4:$I$23,2,TRUE)</f>
        <v>8410</v>
      </c>
      <c r="G198" s="42">
        <f>ROUND(F198*0.975,-1)</f>
        <v>8200</v>
      </c>
      <c r="H198" s="42">
        <f>ROUND(F198*0.95,-1)</f>
        <v>7990</v>
      </c>
      <c r="J198" s="101" t="s">
        <v>154</v>
      </c>
      <c r="K198" s="85" t="s">
        <v>155</v>
      </c>
      <c r="L198" s="100" t="s">
        <v>192</v>
      </c>
      <c r="M198" s="54" t="s">
        <v>205</v>
      </c>
      <c r="N198" s="97">
        <f>VLOOKUP(L198,СГ1!$A$4:$I$23,4,TRUE)+VLOOKUP(L198,СГ1!$A$4:$I$23,2,TRUE)</f>
        <v>8410</v>
      </c>
      <c r="O198" s="94">
        <f>ROUND(N198*0.975,-1)</f>
        <v>8200</v>
      </c>
      <c r="P198" s="94">
        <f>ROUND(N198*0.95,-1)</f>
        <v>7990</v>
      </c>
    </row>
    <row r="199" spans="1:8" ht="39.75" customHeight="1" hidden="1" thickBot="1">
      <c r="A199" s="146"/>
      <c r="B199" s="103" t="s">
        <v>156</v>
      </c>
      <c r="C199" s="104" t="s">
        <v>157</v>
      </c>
      <c r="D199" s="105" t="s">
        <v>192</v>
      </c>
      <c r="E199" s="37" t="s">
        <v>205</v>
      </c>
      <c r="F199" s="108"/>
      <c r="G199" s="109"/>
      <c r="H199" s="109"/>
    </row>
    <row r="200" spans="1:8" ht="27.75" hidden="1" thickBot="1">
      <c r="A200" s="146"/>
      <c r="B200" s="103" t="s">
        <v>158</v>
      </c>
      <c r="C200" s="135" t="s">
        <v>166</v>
      </c>
      <c r="D200" s="105" t="s">
        <v>206</v>
      </c>
      <c r="E200" s="37" t="s">
        <v>205</v>
      </c>
      <c r="F200" s="108"/>
      <c r="G200" s="109"/>
      <c r="H200" s="109"/>
    </row>
    <row r="201" spans="1:8" ht="13.5" hidden="1" thickBot="1">
      <c r="A201" s="110"/>
      <c r="B201" s="111"/>
      <c r="C201" s="112"/>
      <c r="D201" s="113"/>
      <c r="E201" s="47"/>
      <c r="F201" s="48"/>
      <c r="G201" s="49"/>
      <c r="H201" s="49"/>
    </row>
    <row r="202" spans="1:8" ht="29.25" customHeight="1" hidden="1" thickBot="1">
      <c r="A202" s="98">
        <f>A196+1</f>
        <v>52</v>
      </c>
      <c r="B202" s="114" t="s">
        <v>194</v>
      </c>
      <c r="C202" s="100">
        <v>1</v>
      </c>
      <c r="D202" s="100" t="s">
        <v>195</v>
      </c>
      <c r="E202" s="54" t="s">
        <v>207</v>
      </c>
      <c r="F202" s="97">
        <f>VLOOKUP(D202,СГ1!$A$4:$I$23,3,TRUE)+VLOOKUP(D202,СГ1!$A$4:$I$23,2,TRUE)</f>
        <v>18520</v>
      </c>
      <c r="G202" s="94">
        <f>ROUND(F202*0.975,-1)</f>
        <v>18060</v>
      </c>
      <c r="H202" s="94">
        <f>ROUND(F202*0.95,-1)</f>
        <v>17590</v>
      </c>
    </row>
    <row r="203" spans="1:11" ht="18" customHeight="1" hidden="1" thickBot="1">
      <c r="A203" s="98"/>
      <c r="B203" s="99" t="s">
        <v>150</v>
      </c>
      <c r="C203" s="100"/>
      <c r="D203" s="100"/>
      <c r="E203" s="54"/>
      <c r="F203" s="97">
        <f>СГ1!C24</f>
        <v>1930</v>
      </c>
      <c r="G203" s="94"/>
      <c r="H203" s="94"/>
      <c r="J203" s="101" t="s">
        <v>151</v>
      </c>
      <c r="K203" s="85" t="s">
        <v>152</v>
      </c>
    </row>
    <row r="204" spans="1:16" ht="27.75" customHeight="1" hidden="1" thickBot="1">
      <c r="A204" s="98"/>
      <c r="B204" s="93" t="s">
        <v>141</v>
      </c>
      <c r="C204" s="96" t="s">
        <v>153</v>
      </c>
      <c r="D204" s="100" t="s">
        <v>195</v>
      </c>
      <c r="E204" s="54" t="s">
        <v>207</v>
      </c>
      <c r="F204" s="97">
        <f>VLOOKUP(D204,СГ1!$A$4:$I$23,2,TRUE)</f>
        <v>8900</v>
      </c>
      <c r="G204" s="94">
        <f>ROUND(F204*0.975,-1)</f>
        <v>8680</v>
      </c>
      <c r="H204" s="94">
        <f>ROUND(F204*0.95,-1)</f>
        <v>8460</v>
      </c>
      <c r="J204" s="101" t="s">
        <v>154</v>
      </c>
      <c r="K204" s="85" t="s">
        <v>155</v>
      </c>
      <c r="L204" s="100" t="s">
        <v>195</v>
      </c>
      <c r="M204" s="54" t="s">
        <v>207</v>
      </c>
      <c r="N204" s="97">
        <f>VLOOKUP(L204,СГ1!$A$4:$I$23,4,TRUE)+VLOOKUP(L204,СГ1!$A$4:$I$23,2,TRUE)</f>
        <v>8900</v>
      </c>
      <c r="O204" s="94">
        <f>ROUND(N204*0.975,-1)</f>
        <v>8680</v>
      </c>
      <c r="P204" s="94">
        <f>ROUND(N204*0.95,-1)</f>
        <v>8460</v>
      </c>
    </row>
    <row r="205" spans="1:8" ht="40.5" customHeight="1" hidden="1" thickBot="1">
      <c r="A205" s="146"/>
      <c r="B205" s="103" t="s">
        <v>156</v>
      </c>
      <c r="C205" s="104" t="s">
        <v>157</v>
      </c>
      <c r="D205" s="105" t="s">
        <v>195</v>
      </c>
      <c r="E205" s="37" t="s">
        <v>207</v>
      </c>
      <c r="F205" s="108"/>
      <c r="G205" s="109"/>
      <c r="H205" s="109"/>
    </row>
    <row r="206" spans="1:8" ht="30.75" customHeight="1" hidden="1" thickBot="1">
      <c r="A206" s="146"/>
      <c r="B206" s="103" t="s">
        <v>158</v>
      </c>
      <c r="C206" s="135" t="s">
        <v>208</v>
      </c>
      <c r="D206" s="105" t="s">
        <v>209</v>
      </c>
      <c r="E206" s="37" t="s">
        <v>207</v>
      </c>
      <c r="F206" s="108"/>
      <c r="G206" s="109"/>
      <c r="H206" s="109"/>
    </row>
    <row r="207" spans="1:8" ht="13.5" hidden="1" thickBot="1">
      <c r="A207" s="110"/>
      <c r="B207" s="111"/>
      <c r="C207" s="112"/>
      <c r="D207" s="113"/>
      <c r="E207" s="47"/>
      <c r="F207" s="48"/>
      <c r="G207" s="49"/>
      <c r="H207" s="49"/>
    </row>
    <row r="208" spans="1:8" ht="27" customHeight="1" hidden="1" thickBot="1">
      <c r="A208" s="98">
        <f>A202+1</f>
        <v>53</v>
      </c>
      <c r="B208" s="114" t="s">
        <v>197</v>
      </c>
      <c r="C208" s="100">
        <v>1</v>
      </c>
      <c r="D208" s="100" t="s">
        <v>198</v>
      </c>
      <c r="E208" s="54" t="s">
        <v>210</v>
      </c>
      <c r="F208" s="97">
        <f>VLOOKUP(D208,СГ1!$A$4:$I$23,3,TRUE)+VLOOKUP(D208,СГ1!$A$4:$I$23,2,TRUE)</f>
        <v>19170</v>
      </c>
      <c r="G208" s="94">
        <f>ROUND(F208*0.975,-1)</f>
        <v>18690</v>
      </c>
      <c r="H208" s="94">
        <f>ROUND(F208*0.95,-1)</f>
        <v>18210</v>
      </c>
    </row>
    <row r="209" spans="1:8" ht="13.5" hidden="1" thickBot="1">
      <c r="A209" s="98"/>
      <c r="B209" s="99" t="s">
        <v>150</v>
      </c>
      <c r="C209" s="100"/>
      <c r="D209" s="100"/>
      <c r="E209" s="54"/>
      <c r="F209" s="97">
        <f>СГ1!C24</f>
        <v>1930</v>
      </c>
      <c r="G209" s="94"/>
      <c r="H209" s="94"/>
    </row>
    <row r="210" spans="1:16" ht="30.75" customHeight="1" hidden="1" thickBot="1">
      <c r="A210" s="98"/>
      <c r="B210" s="93" t="s">
        <v>141</v>
      </c>
      <c r="C210" s="96" t="s">
        <v>153</v>
      </c>
      <c r="D210" s="100" t="s">
        <v>198</v>
      </c>
      <c r="E210" s="54" t="s">
        <v>210</v>
      </c>
      <c r="F210" s="97">
        <f>VLOOKUP(D210,СГ1!$A$4:$I$23,2,TRUE)</f>
        <v>9210</v>
      </c>
      <c r="G210" s="94">
        <f>ROUND(F210*0.975,-1)</f>
        <v>8980</v>
      </c>
      <c r="H210" s="94">
        <f>ROUND(F210*0.95,-1)</f>
        <v>8750</v>
      </c>
      <c r="J210" s="101" t="s">
        <v>154</v>
      </c>
      <c r="K210" s="85" t="s">
        <v>155</v>
      </c>
      <c r="L210" s="100" t="s">
        <v>198</v>
      </c>
      <c r="M210" s="54" t="s">
        <v>210</v>
      </c>
      <c r="N210" s="97">
        <f>VLOOKUP(L210,СГ1!$A$4:$I$23,4,TRUE)+VLOOKUP(L210,СГ1!$A$4:$I$23,2,TRUE)</f>
        <v>9210</v>
      </c>
      <c r="O210" s="94">
        <f>ROUND(N210*0.975,-1)</f>
        <v>8980</v>
      </c>
      <c r="P210" s="94">
        <f>ROUND(N210*0.95,-1)</f>
        <v>8750</v>
      </c>
    </row>
    <row r="211" spans="1:8" ht="37.5" customHeight="1" hidden="1" thickBot="1">
      <c r="A211" s="146"/>
      <c r="B211" s="103" t="s">
        <v>156</v>
      </c>
      <c r="C211" s="104" t="s">
        <v>157</v>
      </c>
      <c r="D211" s="105" t="s">
        <v>198</v>
      </c>
      <c r="E211" s="37" t="s">
        <v>210</v>
      </c>
      <c r="F211" s="108"/>
      <c r="G211" s="109"/>
      <c r="H211" s="109"/>
    </row>
    <row r="212" spans="1:8" ht="27.75" hidden="1" thickBot="1">
      <c r="A212" s="146"/>
      <c r="B212" s="103" t="s">
        <v>158</v>
      </c>
      <c r="C212" s="135" t="s">
        <v>166</v>
      </c>
      <c r="D212" s="105" t="s">
        <v>211</v>
      </c>
      <c r="E212" s="37" t="s">
        <v>210</v>
      </c>
      <c r="F212" s="108"/>
      <c r="G212" s="109"/>
      <c r="H212" s="109"/>
    </row>
    <row r="213" spans="1:8" ht="13.5" hidden="1" thickBot="1">
      <c r="A213" s="110"/>
      <c r="B213" s="111"/>
      <c r="C213" s="112"/>
      <c r="D213" s="113"/>
      <c r="E213" s="47"/>
      <c r="F213" s="48"/>
      <c r="G213" s="49"/>
      <c r="H213" s="49"/>
    </row>
    <row r="214" spans="1:8" ht="28.5" customHeight="1" hidden="1" thickBot="1">
      <c r="A214" s="98">
        <f>A208+1</f>
        <v>54</v>
      </c>
      <c r="B214" s="114" t="s">
        <v>200</v>
      </c>
      <c r="C214" s="100">
        <v>1</v>
      </c>
      <c r="D214" s="100" t="s">
        <v>88</v>
      </c>
      <c r="E214" s="54" t="s">
        <v>104</v>
      </c>
      <c r="F214" s="97">
        <f>VLOOKUP(D214,СГ1!$A$4:$I$23,3,TRUE)+VLOOKUP(D214,СГ1!$A$4:$I$23,2,TRUE)</f>
        <v>19560</v>
      </c>
      <c r="G214" s="94">
        <f>ROUND(F214*0.975,-1)</f>
        <v>19070</v>
      </c>
      <c r="H214" s="94">
        <f>ROUND(F214*0.95,-1)</f>
        <v>18580</v>
      </c>
    </row>
    <row r="215" spans="1:8" ht="30" customHeight="1" hidden="1" thickBot="1">
      <c r="A215" s="98"/>
      <c r="B215" s="99" t="s">
        <v>150</v>
      </c>
      <c r="C215" s="100"/>
      <c r="D215" s="100"/>
      <c r="E215" s="54"/>
      <c r="F215" s="97">
        <f>СГ1!C24</f>
        <v>1930</v>
      </c>
      <c r="G215" s="94"/>
      <c r="H215" s="94"/>
    </row>
    <row r="216" spans="1:16" ht="28.5" customHeight="1" hidden="1" thickBot="1">
      <c r="A216" s="98"/>
      <c r="B216" s="93" t="s">
        <v>141</v>
      </c>
      <c r="C216" s="96" t="s">
        <v>153</v>
      </c>
      <c r="D216" s="100" t="s">
        <v>88</v>
      </c>
      <c r="E216" s="54" t="s">
        <v>104</v>
      </c>
      <c r="F216" s="97">
        <f>VLOOKUP(D216,СГ1!$A$4:$I$23,2,TRUE)</f>
        <v>9940</v>
      </c>
      <c r="G216" s="94">
        <f>ROUND(F216*0.975,-1)</f>
        <v>9690</v>
      </c>
      <c r="H216" s="94">
        <f>ROUND(F216*0.95,-1)</f>
        <v>9440</v>
      </c>
      <c r="J216" s="101" t="s">
        <v>154</v>
      </c>
      <c r="K216" s="85" t="s">
        <v>155</v>
      </c>
      <c r="L216" s="100" t="s">
        <v>88</v>
      </c>
      <c r="M216" s="54" t="s">
        <v>104</v>
      </c>
      <c r="N216" s="97">
        <f>VLOOKUP(L216,СГ1!$A$4:$I$23,4,TRUE)+VLOOKUP(L216,СГ1!$A$4:$I$23,2,TRUE)</f>
        <v>9940</v>
      </c>
      <c r="O216" s="94">
        <f>ROUND(N216*0.975,-1)</f>
        <v>9690</v>
      </c>
      <c r="P216" s="94">
        <f>ROUND(N216*0.95,-1)</f>
        <v>9440</v>
      </c>
    </row>
    <row r="217" spans="1:8" ht="37.5" customHeight="1" hidden="1" thickBot="1">
      <c r="A217" s="146"/>
      <c r="B217" s="103" t="s">
        <v>156</v>
      </c>
      <c r="C217" s="104" t="s">
        <v>157</v>
      </c>
      <c r="D217" s="105" t="s">
        <v>88</v>
      </c>
      <c r="E217" s="37" t="s">
        <v>104</v>
      </c>
      <c r="F217" s="108"/>
      <c r="G217" s="109"/>
      <c r="H217" s="109"/>
    </row>
    <row r="218" spans="1:8" ht="41.25" customHeight="1" hidden="1" thickBot="1">
      <c r="A218" s="146"/>
      <c r="B218" s="103" t="s">
        <v>158</v>
      </c>
      <c r="C218" s="135" t="s">
        <v>166</v>
      </c>
      <c r="D218" s="105" t="s">
        <v>70</v>
      </c>
      <c r="E218" s="37" t="s">
        <v>104</v>
      </c>
      <c r="F218" s="108"/>
      <c r="G218" s="109"/>
      <c r="H218" s="109"/>
    </row>
    <row r="219" spans="1:8" ht="42" customHeight="1" hidden="1" thickBot="1">
      <c r="A219" s="110"/>
      <c r="B219" s="111"/>
      <c r="C219" s="112"/>
      <c r="D219" s="113"/>
      <c r="E219" s="47"/>
      <c r="F219" s="48"/>
      <c r="G219" s="49"/>
      <c r="H219" s="49"/>
    </row>
    <row r="220" spans="1:8" ht="30.75" customHeight="1" hidden="1" thickBot="1">
      <c r="A220" s="143">
        <f>A214+1</f>
        <v>55</v>
      </c>
      <c r="B220" s="144" t="s">
        <v>202</v>
      </c>
      <c r="C220" s="145">
        <v>1</v>
      </c>
      <c r="D220" s="145" t="s">
        <v>203</v>
      </c>
      <c r="E220" s="72" t="s">
        <v>212</v>
      </c>
      <c r="F220" s="147">
        <f>VLOOKUP(D220,СГ1!$A$4:$I$23,3,TRUE)+VLOOKUP(D220,СГ1!$A$4:$I$23,2,TRUE)</f>
        <v>24470</v>
      </c>
      <c r="G220" s="148">
        <f>ROUND(F220*0.975,-1)</f>
        <v>23860</v>
      </c>
      <c r="H220" s="148">
        <f>ROUND(F220*0.95,-1)</f>
        <v>23250</v>
      </c>
    </row>
    <row r="221" spans="1:8" ht="27.75" customHeight="1" hidden="1" thickBot="1">
      <c r="A221" s="143"/>
      <c r="B221" s="149" t="s">
        <v>150</v>
      </c>
      <c r="C221" s="145"/>
      <c r="D221" s="145"/>
      <c r="E221" s="72"/>
      <c r="F221" s="147">
        <f>СГ1!C24</f>
        <v>1930</v>
      </c>
      <c r="G221" s="148"/>
      <c r="H221" s="148"/>
    </row>
    <row r="222" spans="1:16" ht="29.25" customHeight="1" hidden="1" thickBot="1">
      <c r="A222" s="143"/>
      <c r="B222" s="150" t="s">
        <v>141</v>
      </c>
      <c r="C222" s="151" t="s">
        <v>153</v>
      </c>
      <c r="D222" s="145" t="s">
        <v>203</v>
      </c>
      <c r="E222" s="72" t="s">
        <v>212</v>
      </c>
      <c r="F222" s="147">
        <f>VLOOKUP(D222,СГ1!$A$4:$I$23,2,TRUE)</f>
        <v>9720</v>
      </c>
      <c r="G222" s="148">
        <f>ROUND(F222*0.975,-1)</f>
        <v>9480</v>
      </c>
      <c r="H222" s="148">
        <f>ROUND(F222*0.95,-1)</f>
        <v>9230</v>
      </c>
      <c r="J222" s="101" t="s">
        <v>154</v>
      </c>
      <c r="K222" s="85" t="s">
        <v>155</v>
      </c>
      <c r="L222" s="100" t="s">
        <v>203</v>
      </c>
      <c r="M222" s="54" t="s">
        <v>212</v>
      </c>
      <c r="N222" s="97">
        <f>VLOOKUP(L222,СГ1!$A$4:$I$23,4,TRUE)+VLOOKUP(L222,СГ1!$A$4:$I$23,2,TRUE)</f>
        <v>9720</v>
      </c>
      <c r="O222" s="94">
        <f>ROUND(N222*0.975,-1)</f>
        <v>9480</v>
      </c>
      <c r="P222" s="94">
        <f>ROUND(N222*0.95,-1)</f>
        <v>9230</v>
      </c>
    </row>
    <row r="223" spans="1:8" ht="40.5" customHeight="1" hidden="1" thickBot="1">
      <c r="A223" s="152"/>
      <c r="B223" s="153" t="s">
        <v>156</v>
      </c>
      <c r="C223" s="154" t="s">
        <v>157</v>
      </c>
      <c r="D223" s="145" t="s">
        <v>203</v>
      </c>
      <c r="E223" s="72" t="s">
        <v>212</v>
      </c>
      <c r="F223" s="147"/>
      <c r="G223" s="148"/>
      <c r="H223" s="148"/>
    </row>
    <row r="224" spans="1:8" ht="41.25" customHeight="1" hidden="1" thickBot="1">
      <c r="A224" s="152"/>
      <c r="B224" s="153" t="s">
        <v>158</v>
      </c>
      <c r="C224" s="155" t="s">
        <v>166</v>
      </c>
      <c r="D224" s="145" t="s">
        <v>213</v>
      </c>
      <c r="E224" s="72" t="s">
        <v>212</v>
      </c>
      <c r="F224" s="147"/>
      <c r="G224" s="148"/>
      <c r="H224" s="148"/>
    </row>
    <row r="225" spans="1:8" ht="39" customHeight="1" hidden="1" thickBot="1">
      <c r="A225" s="110"/>
      <c r="B225" s="111"/>
      <c r="C225" s="112"/>
      <c r="D225" s="113"/>
      <c r="E225" s="47"/>
      <c r="F225" s="48"/>
      <c r="G225" s="49"/>
      <c r="H225" s="49"/>
    </row>
    <row r="226" spans="1:8" ht="32.25" customHeight="1" hidden="1" thickBot="1">
      <c r="A226" s="98">
        <f>A220+1</f>
        <v>56</v>
      </c>
      <c r="B226" s="114" t="s">
        <v>214</v>
      </c>
      <c r="C226" s="100">
        <v>1</v>
      </c>
      <c r="D226" s="100" t="s">
        <v>215</v>
      </c>
      <c r="E226" s="54" t="s">
        <v>216</v>
      </c>
      <c r="F226" s="97">
        <f>VLOOKUP(D226,СГ1!$A$4:$I$23,3,TRUE)+VLOOKUP(D226,СГ1!$A$4:$I$23,2,TRUE)</f>
        <v>19170</v>
      </c>
      <c r="G226" s="94">
        <f>ROUND(F226*0.975,-1)</f>
        <v>18690</v>
      </c>
      <c r="H226" s="94">
        <f>ROUND(F226*0.95,-1)</f>
        <v>18210</v>
      </c>
    </row>
    <row r="227" spans="1:8" ht="27" customHeight="1" hidden="1" thickBot="1">
      <c r="A227" s="98"/>
      <c r="B227" s="99" t="s">
        <v>150</v>
      </c>
      <c r="C227" s="100"/>
      <c r="D227" s="100"/>
      <c r="E227" s="54"/>
      <c r="F227" s="97">
        <f>СГ1!C24</f>
        <v>1930</v>
      </c>
      <c r="G227" s="94"/>
      <c r="H227" s="94"/>
    </row>
    <row r="228" spans="1:16" ht="29.25" customHeight="1" hidden="1" thickBot="1">
      <c r="A228" s="98"/>
      <c r="B228" s="93" t="s">
        <v>141</v>
      </c>
      <c r="C228" s="96" t="s">
        <v>153</v>
      </c>
      <c r="D228" s="100" t="s">
        <v>215</v>
      </c>
      <c r="E228" s="54" t="s">
        <v>216</v>
      </c>
      <c r="F228" s="97">
        <f>VLOOKUP(D228,СГ1!$A$4:$I$23,2,TRUE)</f>
        <v>9210</v>
      </c>
      <c r="G228" s="94">
        <f>ROUND(F228*0.975,-1)</f>
        <v>8980</v>
      </c>
      <c r="H228" s="94">
        <f>ROUND(F228*0.95,-1)</f>
        <v>8750</v>
      </c>
      <c r="J228" s="101" t="s">
        <v>154</v>
      </c>
      <c r="K228" s="85" t="s">
        <v>155</v>
      </c>
      <c r="L228" s="100" t="s">
        <v>215</v>
      </c>
      <c r="M228" s="54" t="s">
        <v>216</v>
      </c>
      <c r="N228" s="97">
        <f>VLOOKUP(L228,СГ1!$A$4:$I$23,4,TRUE)+VLOOKUP(L228,СГ1!$A$4:$I$23,2,TRUE)</f>
        <v>9210</v>
      </c>
      <c r="O228" s="94">
        <f>ROUND(N228*0.975,-1)</f>
        <v>8980</v>
      </c>
      <c r="P228" s="94">
        <f>ROUND(N228*0.95,-1)</f>
        <v>8750</v>
      </c>
    </row>
    <row r="229" spans="1:8" ht="38.25" customHeight="1" hidden="1" thickBot="1">
      <c r="A229" s="156"/>
      <c r="B229" s="157" t="s">
        <v>156</v>
      </c>
      <c r="C229" s="158" t="s">
        <v>157</v>
      </c>
      <c r="D229" s="159" t="s">
        <v>215</v>
      </c>
      <c r="E229" s="160" t="s">
        <v>216</v>
      </c>
      <c r="F229" s="161"/>
      <c r="G229" s="162"/>
      <c r="H229" s="162"/>
    </row>
    <row r="230" spans="1:8" ht="27.75" hidden="1" thickBot="1">
      <c r="A230" s="156"/>
      <c r="B230" s="157" t="s">
        <v>158</v>
      </c>
      <c r="C230" s="163" t="s">
        <v>166</v>
      </c>
      <c r="D230" s="159" t="s">
        <v>55</v>
      </c>
      <c r="E230" s="160" t="s">
        <v>216</v>
      </c>
      <c r="F230" s="161"/>
      <c r="G230" s="162"/>
      <c r="H230" s="162"/>
    </row>
    <row r="231" spans="1:8" ht="13.5" hidden="1" thickBot="1">
      <c r="A231" s="110"/>
      <c r="B231" s="111"/>
      <c r="C231" s="112"/>
      <c r="D231" s="113"/>
      <c r="E231" s="47"/>
      <c r="F231" s="48"/>
      <c r="G231" s="49"/>
      <c r="H231" s="49"/>
    </row>
    <row r="232" spans="1:8" ht="30" customHeight="1" hidden="1" thickBot="1">
      <c r="A232" s="98">
        <f>A226+1</f>
        <v>57</v>
      </c>
      <c r="B232" s="114" t="s">
        <v>217</v>
      </c>
      <c r="C232" s="100"/>
      <c r="D232" s="100" t="s">
        <v>48</v>
      </c>
      <c r="E232" s="54" t="s">
        <v>218</v>
      </c>
      <c r="F232" s="97">
        <f>VLOOKUP(D232,СГ1!$A$4:$I$23,3,TRUE)+VLOOKUP(D232,СГ1!$A$4:$I$23,2,TRUE)</f>
        <v>29510</v>
      </c>
      <c r="G232" s="94">
        <f>ROUND(F232*0.975,-1)</f>
        <v>28770</v>
      </c>
      <c r="H232" s="94">
        <f>ROUND(F232*0.95,-1)</f>
        <v>28030</v>
      </c>
    </row>
    <row r="233" spans="1:8" ht="28.5" customHeight="1" hidden="1" thickBot="1">
      <c r="A233" s="98"/>
      <c r="B233" s="99" t="s">
        <v>150</v>
      </c>
      <c r="C233" s="100"/>
      <c r="D233" s="100"/>
      <c r="E233" s="54"/>
      <c r="F233" s="97">
        <f>СГ1!C24</f>
        <v>1930</v>
      </c>
      <c r="G233" s="94"/>
      <c r="H233" s="94"/>
    </row>
    <row r="234" spans="1:16" ht="28.5" customHeight="1" hidden="1" thickBot="1">
      <c r="A234" s="98"/>
      <c r="B234" s="93" t="s">
        <v>141</v>
      </c>
      <c r="C234" s="96" t="s">
        <v>153</v>
      </c>
      <c r="D234" s="100" t="s">
        <v>48</v>
      </c>
      <c r="E234" s="54" t="s">
        <v>218</v>
      </c>
      <c r="F234" s="97">
        <f>VLOOKUP(D234,СГ1!$A$4:$I$23,2,TRUE)</f>
        <v>19550</v>
      </c>
      <c r="G234" s="94">
        <f>ROUND(F234*0.975,-1)</f>
        <v>19060</v>
      </c>
      <c r="H234" s="94">
        <f>ROUND(F234*0.95,-1)</f>
        <v>18570</v>
      </c>
      <c r="J234" s="101" t="s">
        <v>154</v>
      </c>
      <c r="K234" s="85" t="s">
        <v>155</v>
      </c>
      <c r="L234" s="100" t="s">
        <v>48</v>
      </c>
      <c r="M234" s="54" t="s">
        <v>218</v>
      </c>
      <c r="N234" s="97">
        <f>VLOOKUP(L234,СГ1!$A$4:$I$23,4,TRUE)+VLOOKUP(L234,СГ1!$A$4:$I$23,2,TRUE)</f>
        <v>19550</v>
      </c>
      <c r="O234" s="94">
        <f>ROUND(N234*0.975,-1)</f>
        <v>19060</v>
      </c>
      <c r="P234" s="94">
        <f>ROUND(N234*0.95,-1)</f>
        <v>18570</v>
      </c>
    </row>
    <row r="235" spans="1:8" ht="39.75" customHeight="1" hidden="1" thickBot="1">
      <c r="A235" s="146"/>
      <c r="B235" s="103" t="s">
        <v>156</v>
      </c>
      <c r="C235" s="104" t="s">
        <v>157</v>
      </c>
      <c r="D235" s="105" t="s">
        <v>48</v>
      </c>
      <c r="E235" s="37" t="s">
        <v>218</v>
      </c>
      <c r="F235" s="108"/>
      <c r="G235" s="109"/>
      <c r="H235" s="109"/>
    </row>
    <row r="236" spans="1:8" ht="27.75" hidden="1" thickBot="1">
      <c r="A236" s="146"/>
      <c r="B236" s="103" t="s">
        <v>158</v>
      </c>
      <c r="C236" s="135" t="s">
        <v>166</v>
      </c>
      <c r="D236" s="105" t="s">
        <v>72</v>
      </c>
      <c r="E236" s="37" t="s">
        <v>218</v>
      </c>
      <c r="F236" s="108"/>
      <c r="G236" s="109"/>
      <c r="H236" s="109"/>
    </row>
    <row r="237" spans="1:8" ht="13.5" hidden="1" thickBot="1">
      <c r="A237" s="110"/>
      <c r="B237" s="111"/>
      <c r="C237" s="112"/>
      <c r="D237" s="113"/>
      <c r="E237" s="47"/>
      <c r="F237" s="48"/>
      <c r="G237" s="49"/>
      <c r="H237" s="49"/>
    </row>
    <row r="238" spans="1:8" ht="28.5" customHeight="1" hidden="1" thickBot="1">
      <c r="A238" s="98">
        <f>A232+1</f>
        <v>58</v>
      </c>
      <c r="B238" s="114" t="s">
        <v>219</v>
      </c>
      <c r="C238" s="100" t="s">
        <v>14</v>
      </c>
      <c r="D238" s="100" t="s">
        <v>73</v>
      </c>
      <c r="E238" s="54" t="s">
        <v>220</v>
      </c>
      <c r="F238" s="97">
        <f>VLOOKUP(D238,СГ1!$A$4:$I$23,3,TRUE)+VLOOKUP(D238,СГ1!$A$4:$I$23,2,TRUE)</f>
        <v>28370</v>
      </c>
      <c r="G238" s="94">
        <f>ROUND(F238*0.975,-1)</f>
        <v>27660</v>
      </c>
      <c r="H238" s="94">
        <f>ROUND(F238*0.95,-1)</f>
        <v>26950</v>
      </c>
    </row>
    <row r="239" spans="1:8" ht="28.5" customHeight="1" hidden="1" thickBot="1">
      <c r="A239" s="98"/>
      <c r="B239" s="99" t="s">
        <v>150</v>
      </c>
      <c r="C239" s="100"/>
      <c r="D239" s="100"/>
      <c r="E239" s="54"/>
      <c r="F239" s="97">
        <f>СГ1!C24</f>
        <v>1930</v>
      </c>
      <c r="G239" s="94"/>
      <c r="H239" s="94"/>
    </row>
    <row r="240" spans="1:16" ht="25.5" customHeight="1" hidden="1" thickBot="1">
      <c r="A240" s="98"/>
      <c r="B240" s="93" t="s">
        <v>141</v>
      </c>
      <c r="C240" s="96" t="s">
        <v>153</v>
      </c>
      <c r="D240" s="100" t="s">
        <v>73</v>
      </c>
      <c r="E240" s="52" t="s">
        <v>221</v>
      </c>
      <c r="F240" s="97">
        <f>VLOOKUP(D240,СГ1!$A$4:$I$23,2,TRUE)</f>
        <v>18880</v>
      </c>
      <c r="G240" s="94">
        <f>ROUND(F240*0.975,-1)</f>
        <v>18410</v>
      </c>
      <c r="H240" s="94">
        <f>ROUND(F240*0.95,-1)</f>
        <v>17940</v>
      </c>
      <c r="J240" s="101" t="s">
        <v>154</v>
      </c>
      <c r="K240" s="85" t="s">
        <v>155</v>
      </c>
      <c r="L240" s="100" t="s">
        <v>73</v>
      </c>
      <c r="M240" s="52" t="s">
        <v>221</v>
      </c>
      <c r="N240" s="97">
        <f>VLOOKUP(L240,СГ1!$A$4:$I$23,4,TRUE)+VLOOKUP(L240,СГ1!$A$4:$I$23,2,TRUE)</f>
        <v>18880</v>
      </c>
      <c r="O240" s="94">
        <f>ROUND(N240*0.975,-1)</f>
        <v>18410</v>
      </c>
      <c r="P240" s="94">
        <f>ROUND(N240*0.95,-1)</f>
        <v>17940</v>
      </c>
    </row>
    <row r="241" spans="1:8" ht="39" customHeight="1" hidden="1" thickBot="1">
      <c r="A241" s="146"/>
      <c r="B241" s="103" t="s">
        <v>156</v>
      </c>
      <c r="C241" s="104" t="s">
        <v>157</v>
      </c>
      <c r="D241" s="105" t="s">
        <v>73</v>
      </c>
      <c r="E241" s="37" t="s">
        <v>220</v>
      </c>
      <c r="F241" s="108"/>
      <c r="G241" s="109"/>
      <c r="H241" s="109"/>
    </row>
    <row r="242" spans="1:8" ht="39.75" customHeight="1" hidden="1" thickBot="1">
      <c r="A242" s="146"/>
      <c r="B242" s="103" t="s">
        <v>158</v>
      </c>
      <c r="C242" s="135" t="s">
        <v>166</v>
      </c>
      <c r="D242" s="105" t="s">
        <v>74</v>
      </c>
      <c r="E242" s="37" t="s">
        <v>220</v>
      </c>
      <c r="F242" s="108"/>
      <c r="G242" s="109"/>
      <c r="H242" s="109"/>
    </row>
    <row r="243" spans="1:8" ht="28.5" customHeight="1" hidden="1" thickBot="1">
      <c r="A243" s="110"/>
      <c r="B243" s="111"/>
      <c r="C243" s="112"/>
      <c r="D243" s="113"/>
      <c r="E243" s="47"/>
      <c r="F243" s="48"/>
      <c r="G243" s="49"/>
      <c r="H243" s="49"/>
    </row>
    <row r="244" spans="1:8" ht="26.25" customHeight="1" hidden="1" thickBot="1">
      <c r="A244" s="98">
        <f>A238+1</f>
        <v>59</v>
      </c>
      <c r="B244" s="114" t="s">
        <v>222</v>
      </c>
      <c r="C244" s="100" t="s">
        <v>14</v>
      </c>
      <c r="D244" s="100" t="s">
        <v>73</v>
      </c>
      <c r="E244" s="54" t="s">
        <v>223</v>
      </c>
      <c r="F244" s="97">
        <f>VLOOKUP(D244,СГ1!$A$4:$I$23,3,TRUE)+VLOOKUP(D244,СГ1!$A$4:$I$23,2,TRUE)</f>
        <v>28370</v>
      </c>
      <c r="G244" s="94">
        <f>ROUND(F244*0.975,-1)</f>
        <v>27660</v>
      </c>
      <c r="H244" s="94">
        <f>ROUND(F244*0.95,-1)</f>
        <v>26950</v>
      </c>
    </row>
    <row r="245" spans="1:8" ht="24" customHeight="1" hidden="1" thickBot="1">
      <c r="A245" s="98"/>
      <c r="B245" s="99" t="s">
        <v>150</v>
      </c>
      <c r="C245" s="100"/>
      <c r="D245" s="100"/>
      <c r="E245" s="54"/>
      <c r="F245" s="97">
        <f>СГ1!C24</f>
        <v>1930</v>
      </c>
      <c r="G245" s="94"/>
      <c r="H245" s="94"/>
    </row>
    <row r="246" spans="1:16" ht="24.75" customHeight="1" hidden="1" thickBot="1">
      <c r="A246" s="98"/>
      <c r="B246" s="93" t="s">
        <v>141</v>
      </c>
      <c r="C246" s="96" t="s">
        <v>153</v>
      </c>
      <c r="D246" s="100" t="s">
        <v>73</v>
      </c>
      <c r="E246" s="52" t="s">
        <v>221</v>
      </c>
      <c r="F246" s="97">
        <f>VLOOKUP(D246,СГ1!$A$4:$I$23,2,TRUE)</f>
        <v>18880</v>
      </c>
      <c r="G246" s="94">
        <f>ROUND(F246*0.975,-1)</f>
        <v>18410</v>
      </c>
      <c r="H246" s="94">
        <f>ROUND(F246*0.95,-1)</f>
        <v>17940</v>
      </c>
      <c r="J246" s="101" t="s">
        <v>154</v>
      </c>
      <c r="K246" s="85" t="s">
        <v>155</v>
      </c>
      <c r="L246" s="100" t="s">
        <v>73</v>
      </c>
      <c r="M246" s="52" t="s">
        <v>221</v>
      </c>
      <c r="N246" s="97">
        <f>VLOOKUP(L246,СГ1!$A$4:$I$23,4,TRUE)+VLOOKUP(L246,СГ1!$A$4:$I$23,2,TRUE)</f>
        <v>18880</v>
      </c>
      <c r="O246" s="94">
        <f>ROUND(N246*0.975,-1)</f>
        <v>18410</v>
      </c>
      <c r="P246" s="94">
        <f>ROUND(N246*0.95,-1)</f>
        <v>17940</v>
      </c>
    </row>
    <row r="247" spans="1:8" ht="39" customHeight="1" hidden="1" thickBot="1">
      <c r="A247" s="146"/>
      <c r="B247" s="103" t="s">
        <v>156</v>
      </c>
      <c r="C247" s="104" t="s">
        <v>157</v>
      </c>
      <c r="D247" s="105" t="s">
        <v>73</v>
      </c>
      <c r="E247" s="37" t="s">
        <v>223</v>
      </c>
      <c r="F247" s="108"/>
      <c r="G247" s="109"/>
      <c r="H247" s="109"/>
    </row>
    <row r="248" spans="1:8" ht="36.75" customHeight="1" hidden="1" thickBot="1">
      <c r="A248" s="146"/>
      <c r="B248" s="103" t="s">
        <v>158</v>
      </c>
      <c r="C248" s="135" t="s">
        <v>166</v>
      </c>
      <c r="D248" s="105" t="s">
        <v>74</v>
      </c>
      <c r="E248" s="37" t="s">
        <v>223</v>
      </c>
      <c r="F248" s="108"/>
      <c r="G248" s="109"/>
      <c r="H248" s="109"/>
    </row>
    <row r="249" spans="1:8" ht="28.5" customHeight="1" hidden="1" thickBot="1">
      <c r="A249" s="110"/>
      <c r="B249" s="111"/>
      <c r="C249" s="112"/>
      <c r="D249" s="113"/>
      <c r="E249" s="47"/>
      <c r="F249" s="48"/>
      <c r="G249" s="49"/>
      <c r="H249" s="49"/>
    </row>
    <row r="250" spans="1:8" ht="27" customHeight="1" hidden="1" thickBot="1">
      <c r="A250" s="98">
        <f>A244+1</f>
        <v>60</v>
      </c>
      <c r="B250" s="114" t="s">
        <v>224</v>
      </c>
      <c r="C250" s="100" t="s">
        <v>14</v>
      </c>
      <c r="D250" s="100" t="s">
        <v>89</v>
      </c>
      <c r="E250" s="54" t="s">
        <v>218</v>
      </c>
      <c r="F250" s="97">
        <f>VLOOKUP(D250,СГ1!$A$4:$I$23,3,TRUE)+VLOOKUP(D250,СГ1!$A$4:$I$23,2,TRUE)</f>
        <v>21940</v>
      </c>
      <c r="G250" s="94">
        <f>ROUND(F250*0.975,-1)</f>
        <v>21390</v>
      </c>
      <c r="H250" s="94">
        <f>ROUND(F250*0.95,-1)</f>
        <v>20840</v>
      </c>
    </row>
    <row r="251" spans="1:8" ht="24.75" customHeight="1" hidden="1" thickBot="1">
      <c r="A251" s="11"/>
      <c r="B251" s="99" t="s">
        <v>150</v>
      </c>
      <c r="C251" s="96"/>
      <c r="D251" s="41"/>
      <c r="E251" s="54"/>
      <c r="F251" s="97">
        <f>СГ1!C24</f>
        <v>1930</v>
      </c>
      <c r="G251" s="94"/>
      <c r="H251" s="94"/>
    </row>
    <row r="252" spans="1:16" ht="24" customHeight="1" hidden="1" thickBot="1">
      <c r="A252" s="98"/>
      <c r="B252" s="93" t="s">
        <v>141</v>
      </c>
      <c r="C252" s="96" t="s">
        <v>153</v>
      </c>
      <c r="D252" s="100" t="s">
        <v>89</v>
      </c>
      <c r="E252" s="54" t="s">
        <v>218</v>
      </c>
      <c r="F252" s="97">
        <f>VLOOKUP(D252,СГ1!$A$4:$I$23,2,TRUE)</f>
        <v>11980</v>
      </c>
      <c r="G252" s="94">
        <f>ROUND(F252*0.975,-1)</f>
        <v>11680</v>
      </c>
      <c r="H252" s="94">
        <f>ROUND(F252*0.95,-1)</f>
        <v>11380</v>
      </c>
      <c r="J252" s="101" t="s">
        <v>154</v>
      </c>
      <c r="K252" s="85" t="s">
        <v>155</v>
      </c>
      <c r="L252" s="100" t="s">
        <v>89</v>
      </c>
      <c r="M252" s="54" t="s">
        <v>218</v>
      </c>
      <c r="N252" s="97">
        <f>VLOOKUP(L252,СГ1!$A$4:$I$23,4,TRUE)+VLOOKUP(L252,СГ1!$A$4:$I$23,2,TRUE)</f>
        <v>11980</v>
      </c>
      <c r="O252" s="94">
        <f>ROUND(N252*0.975,-1)</f>
        <v>11680</v>
      </c>
      <c r="P252" s="94">
        <f>ROUND(N252*0.95,-1)</f>
        <v>11380</v>
      </c>
    </row>
    <row r="253" spans="1:8" ht="42.75" customHeight="1" hidden="1" thickBot="1">
      <c r="A253" s="146"/>
      <c r="B253" s="103" t="s">
        <v>156</v>
      </c>
      <c r="C253" s="104" t="s">
        <v>157</v>
      </c>
      <c r="D253" s="105" t="s">
        <v>89</v>
      </c>
      <c r="E253" s="37" t="s">
        <v>218</v>
      </c>
      <c r="F253" s="108"/>
      <c r="G253" s="109"/>
      <c r="H253" s="109"/>
    </row>
    <row r="254" spans="1:8" ht="36.75" customHeight="1" hidden="1" thickBot="1">
      <c r="A254" s="146"/>
      <c r="B254" s="103" t="s">
        <v>225</v>
      </c>
      <c r="C254" s="135" t="s">
        <v>166</v>
      </c>
      <c r="D254" s="105" t="s">
        <v>71</v>
      </c>
      <c r="E254" s="37" t="s">
        <v>218</v>
      </c>
      <c r="F254" s="108"/>
      <c r="G254" s="109"/>
      <c r="H254" s="109"/>
    </row>
    <row r="255" spans="1:8" ht="28.5" customHeight="1" hidden="1" thickBot="1">
      <c r="A255" s="43"/>
      <c r="B255" s="88"/>
      <c r="C255" s="89"/>
      <c r="D255" s="90"/>
      <c r="E255" s="47"/>
      <c r="F255" s="48"/>
      <c r="G255" s="49"/>
      <c r="H255" s="49"/>
    </row>
    <row r="256" spans="1:8" ht="15.75" customHeight="1" hidden="1" thickBot="1">
      <c r="A256" s="86">
        <f>A250+1</f>
        <v>61</v>
      </c>
      <c r="B256" s="164" t="s">
        <v>226</v>
      </c>
      <c r="C256" s="165" t="s">
        <v>14</v>
      </c>
      <c r="D256" s="86" t="s">
        <v>117</v>
      </c>
      <c r="E256" s="54" t="s">
        <v>227</v>
      </c>
      <c r="F256" s="166">
        <f>VLOOKUP(D256,СГ1!$A$4:$I$23,3,TRUE)+VLOOKUP(D256,СГ1!$A$4:$I$23,2,TRUE)</f>
        <v>32680</v>
      </c>
      <c r="G256" s="94">
        <f>ROUND(F256*0.975,-1)</f>
        <v>31860</v>
      </c>
      <c r="H256" s="94">
        <f>ROUND(F256*0.95,-1)</f>
        <v>31050</v>
      </c>
    </row>
    <row r="257" spans="1:8" ht="16.5" customHeight="1" hidden="1" thickBot="1">
      <c r="A257" s="86"/>
      <c r="B257" s="99" t="s">
        <v>150</v>
      </c>
      <c r="C257" s="96"/>
      <c r="D257" s="41"/>
      <c r="E257" s="54"/>
      <c r="F257" s="166">
        <f>СГ1!C24</f>
        <v>1930</v>
      </c>
      <c r="G257" s="94"/>
      <c r="H257" s="94"/>
    </row>
    <row r="258" spans="1:8" ht="15.75" customHeight="1" hidden="1" thickBot="1">
      <c r="A258" s="167"/>
      <c r="B258" s="168" t="s">
        <v>228</v>
      </c>
      <c r="C258" s="85" t="s">
        <v>10</v>
      </c>
      <c r="D258" s="86" t="s">
        <v>117</v>
      </c>
      <c r="E258" s="54" t="s">
        <v>227</v>
      </c>
      <c r="F258" s="166">
        <f>VLOOKUP(D258,СГ1!$A$4:$I$23,2,TRUE)</f>
        <v>22720</v>
      </c>
      <c r="G258" s="94">
        <f>ROUND(F258*0.975,-1)</f>
        <v>22150</v>
      </c>
      <c r="H258" s="94">
        <f>ROUND(F258*0.95,-1)</f>
        <v>21580</v>
      </c>
    </row>
    <row r="259" spans="1:8" ht="18" customHeight="1" hidden="1" thickBot="1">
      <c r="A259" s="43"/>
      <c r="B259" s="88"/>
      <c r="C259" s="89"/>
      <c r="D259" s="90"/>
      <c r="E259" s="47"/>
      <c r="F259" s="48"/>
      <c r="G259" s="49"/>
      <c r="H259" s="49"/>
    </row>
    <row r="260" spans="1:8" ht="26.25" customHeight="1" hidden="1" thickBot="1">
      <c r="A260" s="84">
        <f>A256+1</f>
        <v>62</v>
      </c>
      <c r="B260" s="164" t="s">
        <v>229</v>
      </c>
      <c r="C260" s="169" t="s">
        <v>14</v>
      </c>
      <c r="D260" s="86" t="s">
        <v>117</v>
      </c>
      <c r="E260" s="54" t="s">
        <v>230</v>
      </c>
      <c r="F260" s="166">
        <f>VLOOKUP(D260,СГ1!$A$4:$I$23,3,TRUE)+VLOOKUP(D260,СГ1!$A$4:$I$23,2,TRUE)</f>
        <v>32680</v>
      </c>
      <c r="G260" s="94">
        <f>ROUND(F260*0.975,-1)</f>
        <v>31860</v>
      </c>
      <c r="H260" s="94">
        <f>ROUND(F260*0.95,-1)</f>
        <v>31050</v>
      </c>
    </row>
    <row r="261" spans="1:8" ht="24.75" customHeight="1" hidden="1" thickBot="1">
      <c r="A261" s="86"/>
      <c r="B261" s="99" t="s">
        <v>150</v>
      </c>
      <c r="C261" s="169"/>
      <c r="D261" s="41"/>
      <c r="E261" s="54"/>
      <c r="F261" s="166">
        <f>СГ1!C24</f>
        <v>1930</v>
      </c>
      <c r="G261" s="94"/>
      <c r="H261" s="94"/>
    </row>
    <row r="262" spans="1:8" ht="16.5" hidden="1" thickBot="1">
      <c r="A262" s="167"/>
      <c r="B262" s="168" t="s">
        <v>228</v>
      </c>
      <c r="C262" s="85" t="s">
        <v>10</v>
      </c>
      <c r="D262" s="41" t="s">
        <v>117</v>
      </c>
      <c r="E262" s="54" t="s">
        <v>230</v>
      </c>
      <c r="F262" s="166">
        <f>VLOOKUP(D262,СГ1!$A$4:$I$23,2,TRUE)</f>
        <v>22720</v>
      </c>
      <c r="G262" s="94">
        <f>ROUND(F262*0.975,-1)</f>
        <v>22150</v>
      </c>
      <c r="H262" s="94">
        <f>ROUND(F262*0.95,-1)</f>
        <v>21580</v>
      </c>
    </row>
    <row r="263" ht="15" customHeight="1" hidden="1">
      <c r="A263" s="170"/>
    </row>
    <row r="264" spans="1:8" ht="12.75" hidden="1">
      <c r="A264" s="3"/>
      <c r="B264" s="3"/>
      <c r="C264" s="3"/>
      <c r="D264" s="3"/>
      <c r="E264" s="3"/>
      <c r="F264" s="932"/>
      <c r="G264" s="3"/>
      <c r="H264" s="3"/>
    </row>
    <row r="265" ht="12.75" hidden="1">
      <c r="A265" s="171" t="s">
        <v>186</v>
      </c>
    </row>
    <row r="266" ht="12.75" customHeight="1" hidden="1">
      <c r="A266" s="172" t="s">
        <v>187</v>
      </c>
    </row>
    <row r="267" ht="18.75" customHeight="1" hidden="1">
      <c r="A267" s="172" t="s">
        <v>188</v>
      </c>
    </row>
    <row r="268" ht="21" customHeight="1" hidden="1" thickBot="1">
      <c r="A268" s="170"/>
    </row>
    <row r="269" spans="1:8" ht="37.5" customHeight="1" hidden="1" thickBot="1">
      <c r="A269" s="924" t="s">
        <v>231</v>
      </c>
      <c r="B269" s="924"/>
      <c r="C269" s="924"/>
      <c r="D269" s="924"/>
      <c r="E269" s="921" t="s">
        <v>232</v>
      </c>
      <c r="F269" s="921"/>
      <c r="G269" s="921"/>
      <c r="H269" s="921"/>
    </row>
    <row r="270" spans="1:8" ht="32.25" customHeight="1" hidden="1" thickBot="1">
      <c r="A270" s="10" t="s">
        <v>7</v>
      </c>
      <c r="B270" s="922" t="s">
        <v>0</v>
      </c>
      <c r="C270" s="923" t="s">
        <v>1</v>
      </c>
      <c r="D270" s="923" t="s">
        <v>2</v>
      </c>
      <c r="E270" s="923" t="s">
        <v>3</v>
      </c>
      <c r="F270" s="920" t="s">
        <v>8</v>
      </c>
      <c r="G270" s="920"/>
      <c r="H270" s="920"/>
    </row>
    <row r="271" spans="1:8" ht="28.5" customHeight="1" hidden="1" thickBot="1">
      <c r="A271" s="12"/>
      <c r="B271" s="922"/>
      <c r="C271" s="923" t="s">
        <v>9</v>
      </c>
      <c r="D271" s="923"/>
      <c r="E271" s="923"/>
      <c r="F271" s="13" t="s">
        <v>10</v>
      </c>
      <c r="G271" s="14" t="s">
        <v>11</v>
      </c>
      <c r="H271" s="15" t="s">
        <v>12</v>
      </c>
    </row>
    <row r="272" spans="1:8" ht="77.25" hidden="1" thickBot="1">
      <c r="A272" s="23"/>
      <c r="B272" s="40" t="s">
        <v>235</v>
      </c>
      <c r="C272" s="18" t="s">
        <v>14</v>
      </c>
      <c r="D272" s="56" t="s">
        <v>81</v>
      </c>
      <c r="E272" s="54" t="s">
        <v>77</v>
      </c>
      <c r="F272" s="25"/>
      <c r="G272" s="42"/>
      <c r="H272" s="42"/>
    </row>
    <row r="273" ht="12.75" hidden="1">
      <c r="E273" s="1"/>
    </row>
    <row r="274" ht="19.5" customHeight="1" hidden="1" thickBot="1">
      <c r="E274" s="1"/>
    </row>
    <row r="275" spans="1:8" ht="24.75" customHeight="1" thickBot="1">
      <c r="A275" s="919" t="s">
        <v>236</v>
      </c>
      <c r="B275" s="919"/>
      <c r="C275" s="919"/>
      <c r="D275" s="919"/>
      <c r="E275" s="921" t="s">
        <v>237</v>
      </c>
      <c r="F275" s="921"/>
      <c r="G275" s="921"/>
      <c r="H275" s="921"/>
    </row>
    <row r="276" spans="1:8" ht="24" customHeight="1" thickBot="1">
      <c r="A276" s="10" t="s">
        <v>7</v>
      </c>
      <c r="B276" s="922" t="s">
        <v>0</v>
      </c>
      <c r="C276" s="923" t="s">
        <v>1</v>
      </c>
      <c r="D276" s="923" t="s">
        <v>2</v>
      </c>
      <c r="E276" s="923" t="s">
        <v>3</v>
      </c>
      <c r="F276" s="920" t="s">
        <v>8</v>
      </c>
      <c r="G276" s="920"/>
      <c r="H276" s="920"/>
    </row>
    <row r="277" spans="1:8" ht="19.5" customHeight="1">
      <c r="A277" s="12"/>
      <c r="B277" s="922"/>
      <c r="C277" s="923" t="s">
        <v>9</v>
      </c>
      <c r="D277" s="923"/>
      <c r="E277" s="923"/>
      <c r="F277" s="13" t="s">
        <v>10</v>
      </c>
      <c r="G277" s="14" t="s">
        <v>238</v>
      </c>
      <c r="H277" s="15" t="s">
        <v>239</v>
      </c>
    </row>
    <row r="278" spans="1:8" ht="24.75" customHeight="1">
      <c r="A278" s="174">
        <f>A260+1</f>
        <v>63</v>
      </c>
      <c r="B278" s="175" t="s">
        <v>240</v>
      </c>
      <c r="C278" s="169">
        <v>1</v>
      </c>
      <c r="D278" s="169" t="s">
        <v>215</v>
      </c>
      <c r="E278" s="169"/>
      <c r="F278" s="176">
        <f>VLOOKUP(D278,СГИ!$H$13:$I$16,2,TRUE)</f>
        <v>96100</v>
      </c>
      <c r="G278" s="94">
        <f>ROUND(F278*0.975,-1)</f>
        <v>93700</v>
      </c>
      <c r="H278" s="94">
        <f>ROUND(F278*0.95,-1)</f>
        <v>91300</v>
      </c>
    </row>
    <row r="279" spans="1:8" ht="13.5">
      <c r="A279" s="174">
        <f>A278+1</f>
        <v>64</v>
      </c>
      <c r="B279" s="177" t="s">
        <v>241</v>
      </c>
      <c r="C279" s="169">
        <v>2</v>
      </c>
      <c r="D279" s="169" t="s">
        <v>242</v>
      </c>
      <c r="E279" s="169"/>
      <c r="F279" s="176">
        <f>VLOOKUP(D279,СГИ!$H$13:$I$16,2,TRUE)</f>
        <v>187380</v>
      </c>
      <c r="G279" s="94">
        <f>ROUND(F279*0.975,-1)</f>
        <v>182700</v>
      </c>
      <c r="H279" s="94">
        <f>ROUND(F279*0.95,-1)</f>
        <v>178010</v>
      </c>
    </row>
    <row r="280" spans="1:8" ht="13.5">
      <c r="A280" s="174">
        <f>A279+1</f>
        <v>65</v>
      </c>
      <c r="B280" s="177" t="s">
        <v>243</v>
      </c>
      <c r="C280" s="169">
        <v>3</v>
      </c>
      <c r="D280" s="169" t="s">
        <v>244</v>
      </c>
      <c r="E280" s="169"/>
      <c r="F280" s="176">
        <f>VLOOKUP(D280,СГИ!$H$13:$I$16,2,TRUE)</f>
        <v>216220</v>
      </c>
      <c r="G280" s="94">
        <f>ROUND(F280*0.975,-1)</f>
        <v>210810</v>
      </c>
      <c r="H280" s="94">
        <f>ROUND(F280*0.95,-1)</f>
        <v>205410</v>
      </c>
    </row>
    <row r="281" spans="1:8" ht="13.5">
      <c r="A281" s="174">
        <f>A280+1</f>
        <v>66</v>
      </c>
      <c r="B281" s="177" t="s">
        <v>245</v>
      </c>
      <c r="C281" s="169" t="s">
        <v>18</v>
      </c>
      <c r="D281" s="169" t="s">
        <v>246</v>
      </c>
      <c r="E281" s="169"/>
      <c r="F281" s="176">
        <f>VLOOKUP(D281,СГИ!$H$13:$I$16,2,TRUE)</f>
        <v>156160</v>
      </c>
      <c r="G281" s="94">
        <f>ROUND(F281*0.975,-1)</f>
        <v>152260</v>
      </c>
      <c r="H281" s="94">
        <f>ROUND(F281*0.95,-1)</f>
        <v>148350</v>
      </c>
    </row>
    <row r="282" spans="1:8" ht="12.75">
      <c r="A282" s="43"/>
      <c r="B282" s="88"/>
      <c r="C282" s="89"/>
      <c r="D282" s="90"/>
      <c r="E282" s="47"/>
      <c r="F282" s="48"/>
      <c r="G282" s="49"/>
      <c r="H282" s="49"/>
    </row>
    <row r="283" ht="12.75">
      <c r="E283" s="1"/>
    </row>
    <row r="284" spans="1:8" ht="24.75" customHeight="1">
      <c r="A284" s="919" t="s">
        <v>247</v>
      </c>
      <c r="B284" s="919"/>
      <c r="C284" s="919"/>
      <c r="D284" s="919"/>
      <c r="E284" s="921"/>
      <c r="F284" s="921"/>
      <c r="G284" s="921"/>
      <c r="H284" s="921"/>
    </row>
    <row r="285" spans="1:8" ht="24.75" customHeight="1">
      <c r="A285" s="10" t="s">
        <v>7</v>
      </c>
      <c r="B285" s="922" t="s">
        <v>0</v>
      </c>
      <c r="C285" s="923" t="s">
        <v>1</v>
      </c>
      <c r="D285" s="923" t="s">
        <v>2</v>
      </c>
      <c r="E285" s="923" t="s">
        <v>3</v>
      </c>
      <c r="F285" s="920" t="s">
        <v>8</v>
      </c>
      <c r="G285" s="920"/>
      <c r="H285" s="920"/>
    </row>
    <row r="286" spans="1:8" ht="18" customHeight="1" thickBot="1">
      <c r="A286" s="12"/>
      <c r="B286" s="922"/>
      <c r="C286" s="923" t="s">
        <v>9</v>
      </c>
      <c r="D286" s="923"/>
      <c r="E286" s="923"/>
      <c r="F286" s="13" t="s">
        <v>10</v>
      </c>
      <c r="G286" s="14" t="s">
        <v>11</v>
      </c>
      <c r="H286" s="15" t="s">
        <v>12</v>
      </c>
    </row>
    <row r="287" spans="1:8" ht="26.25" thickBot="1">
      <c r="A287" s="174">
        <f>A281+1</f>
        <v>67</v>
      </c>
      <c r="B287" s="50" t="str">
        <f>СГИ!$H18</f>
        <v>Анализатор остаточного активного хлора в воде ВАКХ-2000</v>
      </c>
      <c r="C287" s="50"/>
      <c r="D287" s="50"/>
      <c r="E287" s="50"/>
      <c r="F287" s="178">
        <f>VLOOKUP(B287,СГИ!$H$18:$I$24,2,TRUE)</f>
        <v>41710</v>
      </c>
      <c r="G287" s="94">
        <f aca="true" t="shared" si="16" ref="G287:G292">ROUND(F287*0.975,-1)</f>
        <v>40670</v>
      </c>
      <c r="H287" s="94">
        <f aca="true" t="shared" si="17" ref="H287:H292">ROUND(F287*0.95,-1)</f>
        <v>39620</v>
      </c>
    </row>
    <row r="288" spans="1:8" ht="51.75" thickBot="1">
      <c r="A288" s="174">
        <f>A287+1</f>
        <v>68</v>
      </c>
      <c r="B288" s="50" t="str">
        <f>СГИ!$H19</f>
        <v>Анализатор остаточного активного хлора в воде ВАКХ-2000С, стационарный, лабораторный, полуавтоматический</v>
      </c>
      <c r="C288" s="50"/>
      <c r="D288" s="50"/>
      <c r="E288" s="50"/>
      <c r="F288" s="178">
        <f>VLOOKUP(B288,СГИ!$H$18:$I$24,2,TRUE)</f>
        <v>53450</v>
      </c>
      <c r="G288" s="94">
        <f t="shared" si="16"/>
        <v>52110</v>
      </c>
      <c r="H288" s="94">
        <f t="shared" si="17"/>
        <v>50780</v>
      </c>
    </row>
    <row r="289" spans="1:8" ht="60.75" customHeight="1" thickBot="1">
      <c r="A289" s="174">
        <f>A288+1</f>
        <v>69</v>
      </c>
      <c r="B289" s="50" t="str">
        <f>СГИ!$H20</f>
        <v>Анализатор остаточного активного хлора в воде ВАКХ-2000С, стационарный, проточный, автоматический</v>
      </c>
      <c r="C289" s="50"/>
      <c r="D289" s="50"/>
      <c r="E289" s="50"/>
      <c r="F289" s="178">
        <f>VLOOKUP(B289,СГИ!$H$18:$I$24,2,TRUE)</f>
        <v>107570</v>
      </c>
      <c r="G289" s="94">
        <f t="shared" si="16"/>
        <v>104880</v>
      </c>
      <c r="H289" s="94">
        <f t="shared" si="17"/>
        <v>102190</v>
      </c>
    </row>
    <row r="290" spans="1:8" ht="39" thickBot="1">
      <c r="A290" s="174">
        <f>A289+1</f>
        <v>70</v>
      </c>
      <c r="B290" s="50" t="str">
        <f>СГИ!$H22</f>
        <v>Анализатор элементного состава "ТОПАЗ-C" с управляющим компьютером</v>
      </c>
      <c r="C290" s="50"/>
      <c r="D290" s="50"/>
      <c r="E290" s="50"/>
      <c r="F290" s="178">
        <f>VLOOKUP(B290,СГИ!$H$18:$I$24,2,TRUE)</f>
        <v>567490</v>
      </c>
      <c r="G290" s="94">
        <f t="shared" si="16"/>
        <v>553300</v>
      </c>
      <c r="H290" s="94">
        <f t="shared" si="17"/>
        <v>539120</v>
      </c>
    </row>
    <row r="291" spans="1:8" ht="38.25">
      <c r="A291" s="174">
        <f>A290+1</f>
        <v>71</v>
      </c>
      <c r="B291" s="50" t="str">
        <f>СГИ!$H23</f>
        <v>Анализатор элементного состава "ТОПАЗ-N" с управляющим компьютером</v>
      </c>
      <c r="C291" s="50"/>
      <c r="D291" s="50"/>
      <c r="E291" s="50"/>
      <c r="F291" s="178">
        <f>VLOOKUP(B291,СГИ!$H$18:$I$24,2,TRUE)</f>
        <v>592220</v>
      </c>
      <c r="G291" s="94">
        <f t="shared" si="16"/>
        <v>577410</v>
      </c>
      <c r="H291" s="94">
        <f t="shared" si="17"/>
        <v>562610</v>
      </c>
    </row>
    <row r="292" spans="1:8" ht="49.5" customHeight="1">
      <c r="A292" s="174">
        <f>A291+1</f>
        <v>72</v>
      </c>
      <c r="B292" s="50" t="str">
        <f>СГИ!$H24</f>
        <v>Анализатор элементного состава "ТОПАЗ-NC" с управляющим компьютером</v>
      </c>
      <c r="C292" s="50"/>
      <c r="D292" s="50"/>
      <c r="E292" s="50"/>
      <c r="F292" s="178">
        <f>VLOOKUP(B292,СГИ!$H$18:$I$24,2,TRUE)</f>
        <v>752480</v>
      </c>
      <c r="G292" s="94">
        <f t="shared" si="16"/>
        <v>733670</v>
      </c>
      <c r="H292" s="94">
        <f t="shared" si="17"/>
        <v>714860</v>
      </c>
    </row>
    <row r="293" ht="19.5" customHeight="1">
      <c r="A293" s="179"/>
    </row>
    <row r="294" spans="1:8" ht="21" customHeight="1">
      <c r="A294" s="919" t="s">
        <v>253</v>
      </c>
      <c r="B294" s="919"/>
      <c r="C294" s="919"/>
      <c r="D294" s="919"/>
      <c r="E294" s="921"/>
      <c r="F294" s="921"/>
      <c r="G294" s="921"/>
      <c r="H294" s="921"/>
    </row>
    <row r="295" spans="1:8" ht="24.75" customHeight="1">
      <c r="A295" s="10" t="s">
        <v>7</v>
      </c>
      <c r="B295" s="922" t="s">
        <v>0</v>
      </c>
      <c r="C295" s="923" t="s">
        <v>1</v>
      </c>
      <c r="D295" s="923" t="s">
        <v>2</v>
      </c>
      <c r="E295" s="923" t="s">
        <v>3</v>
      </c>
      <c r="F295" s="920" t="s">
        <v>8</v>
      </c>
      <c r="G295" s="920"/>
      <c r="H295" s="920"/>
    </row>
    <row r="296" spans="1:8" ht="13.5" thickBot="1">
      <c r="A296" s="12"/>
      <c r="B296" s="922"/>
      <c r="C296" s="923" t="s">
        <v>9</v>
      </c>
      <c r="D296" s="923"/>
      <c r="E296" s="923"/>
      <c r="F296" s="13" t="s">
        <v>10</v>
      </c>
      <c r="G296" s="14" t="s">
        <v>11</v>
      </c>
      <c r="H296" s="15" t="s">
        <v>12</v>
      </c>
    </row>
    <row r="297" spans="1:8" ht="26.25" thickBot="1">
      <c r="A297" s="174"/>
      <c r="B297" s="181" t="s">
        <v>577</v>
      </c>
      <c r="C297" s="182">
        <v>2</v>
      </c>
      <c r="D297" s="174"/>
      <c r="E297" s="91" t="s">
        <v>255</v>
      </c>
      <c r="F297" s="183">
        <f>VLOOKUP(B297,СГИ!$H$26:$I$35,2,TRUE)</f>
        <v>357340</v>
      </c>
      <c r="G297" s="94">
        <f aca="true" t="shared" si="18" ref="G297:G305">ROUND(F297*0.975,-1)</f>
        <v>348410</v>
      </c>
      <c r="H297" s="94">
        <f>ROUND(F297*0.95,-1)</f>
        <v>339470</v>
      </c>
    </row>
    <row r="298" spans="1:8" ht="26.25" thickBot="1">
      <c r="A298" s="180">
        <f>A292+1</f>
        <v>73</v>
      </c>
      <c r="B298" s="181" t="s">
        <v>254</v>
      </c>
      <c r="C298" s="182">
        <v>2</v>
      </c>
      <c r="D298" s="91"/>
      <c r="E298" s="91" t="s">
        <v>255</v>
      </c>
      <c r="F298" s="183">
        <f>VLOOKUP(B298,СГИ!$H$26:$I$35,2,TRUE)</f>
        <v>314030</v>
      </c>
      <c r="G298" s="94">
        <f t="shared" si="18"/>
        <v>306180</v>
      </c>
      <c r="H298" s="94">
        <f aca="true" t="shared" si="19" ref="H298:H305">ROUND(F298*0.95,-1)</f>
        <v>298330</v>
      </c>
    </row>
    <row r="299" spans="1:8" ht="26.25" thickBot="1">
      <c r="A299" s="180">
        <f aca="true" t="shared" si="20" ref="A299:A305">A298+1</f>
        <v>74</v>
      </c>
      <c r="B299" s="181" t="s">
        <v>256</v>
      </c>
      <c r="C299" s="182">
        <v>2</v>
      </c>
      <c r="D299" s="91"/>
      <c r="E299" s="91" t="s">
        <v>255</v>
      </c>
      <c r="F299" s="183">
        <f>VLOOKUP(B299,СГИ!$H$26:$I$35,2,TRUE)</f>
        <v>270710</v>
      </c>
      <c r="G299" s="94">
        <f t="shared" si="18"/>
        <v>263940</v>
      </c>
      <c r="H299" s="94">
        <f t="shared" si="19"/>
        <v>257170</v>
      </c>
    </row>
    <row r="300" spans="1:8" ht="26.25" thickBot="1">
      <c r="A300" s="180">
        <f t="shared" si="20"/>
        <v>75</v>
      </c>
      <c r="B300" s="181" t="s">
        <v>606</v>
      </c>
      <c r="C300" s="182">
        <v>1</v>
      </c>
      <c r="D300" s="91" t="s">
        <v>48</v>
      </c>
      <c r="E300" s="91" t="s">
        <v>257</v>
      </c>
      <c r="F300" s="183">
        <f>VLOOKUP(B300,СГИ!$H$26:$I$35,2,TRUE)</f>
        <v>604500</v>
      </c>
      <c r="G300" s="94">
        <f t="shared" si="18"/>
        <v>589390</v>
      </c>
      <c r="H300" s="94">
        <f t="shared" si="19"/>
        <v>574280</v>
      </c>
    </row>
    <row r="301" spans="1:8" ht="32.25" thickBot="1">
      <c r="A301" s="180">
        <f t="shared" si="20"/>
        <v>76</v>
      </c>
      <c r="B301" s="181" t="s">
        <v>603</v>
      </c>
      <c r="C301" s="182">
        <v>2</v>
      </c>
      <c r="D301" s="91" t="s">
        <v>604</v>
      </c>
      <c r="E301" s="91" t="s">
        <v>605</v>
      </c>
      <c r="F301" s="183">
        <f>VLOOKUP(B301,СГИ!$H$26:$I$35,2,TRUE)</f>
        <v>794500</v>
      </c>
      <c r="G301" s="94">
        <f t="shared" si="18"/>
        <v>774640</v>
      </c>
      <c r="H301" s="94">
        <f>ROUND(F301*0.95,-1)</f>
        <v>754780</v>
      </c>
    </row>
    <row r="302" spans="1:8" ht="26.25" thickBot="1">
      <c r="A302" s="180">
        <f t="shared" si="20"/>
        <v>77</v>
      </c>
      <c r="B302" s="181" t="s">
        <v>258</v>
      </c>
      <c r="C302" s="182">
        <v>1</v>
      </c>
      <c r="D302" s="91" t="s">
        <v>259</v>
      </c>
      <c r="E302" s="91" t="s">
        <v>260</v>
      </c>
      <c r="F302" s="183">
        <f>VLOOKUP(B302,СГИ!$H$26:$I$35,2,TRUE)</f>
        <v>380130</v>
      </c>
      <c r="G302" s="94">
        <f t="shared" si="18"/>
        <v>370630</v>
      </c>
      <c r="H302" s="94">
        <f t="shared" si="19"/>
        <v>361120</v>
      </c>
    </row>
    <row r="303" spans="1:8" ht="25.5">
      <c r="A303" s="180">
        <f t="shared" si="20"/>
        <v>78</v>
      </c>
      <c r="B303" s="181" t="s">
        <v>261</v>
      </c>
      <c r="C303" s="182">
        <v>1</v>
      </c>
      <c r="D303" s="91" t="s">
        <v>262</v>
      </c>
      <c r="E303" s="91" t="s">
        <v>263</v>
      </c>
      <c r="F303" s="183">
        <f>VLOOKUP(B303,СГИ!$H$26:$I$35,2,TRUE)</f>
        <v>604500</v>
      </c>
      <c r="G303" s="94">
        <f t="shared" si="18"/>
        <v>589390</v>
      </c>
      <c r="H303" s="94">
        <f t="shared" si="19"/>
        <v>574280</v>
      </c>
    </row>
    <row r="304" spans="1:8" ht="25.5">
      <c r="A304" s="180">
        <f t="shared" si="20"/>
        <v>79</v>
      </c>
      <c r="B304" s="181" t="s">
        <v>264</v>
      </c>
      <c r="C304" s="182">
        <v>1</v>
      </c>
      <c r="D304" s="91" t="s">
        <v>117</v>
      </c>
      <c r="E304" s="184" t="s">
        <v>265</v>
      </c>
      <c r="F304" s="183">
        <f>VLOOKUP(B304,СГИ!$H$26:$I$35,2,TRUE)</f>
        <v>928130</v>
      </c>
      <c r="G304" s="94">
        <f t="shared" si="18"/>
        <v>904930</v>
      </c>
      <c r="H304" s="94">
        <f t="shared" si="19"/>
        <v>881720</v>
      </c>
    </row>
    <row r="305" spans="1:8" ht="25.5">
      <c r="A305" s="180">
        <f t="shared" si="20"/>
        <v>80</v>
      </c>
      <c r="B305" s="181" t="s">
        <v>266</v>
      </c>
      <c r="C305" s="182">
        <v>1</v>
      </c>
      <c r="D305" s="91" t="s">
        <v>267</v>
      </c>
      <c r="E305" s="91" t="s">
        <v>268</v>
      </c>
      <c r="F305" s="183">
        <f>VLOOKUP(B305,СГИ!$H$26:$I$35,2,TRUE)</f>
        <v>577130</v>
      </c>
      <c r="G305" s="94">
        <f t="shared" si="18"/>
        <v>562700</v>
      </c>
      <c r="H305" s="94">
        <f t="shared" si="19"/>
        <v>548270</v>
      </c>
    </row>
    <row r="306" spans="1:8" ht="12.75">
      <c r="A306" s="174"/>
      <c r="B306" s="185"/>
      <c r="C306" s="186"/>
      <c r="D306" s="91"/>
      <c r="E306" s="50"/>
      <c r="F306" s="183"/>
      <c r="G306" s="94"/>
      <c r="H306" s="94"/>
    </row>
    <row r="307" ht="19.5" customHeight="1">
      <c r="E307" s="1"/>
    </row>
    <row r="308" spans="1:8" ht="17.25" customHeight="1">
      <c r="A308" s="919" t="s">
        <v>270</v>
      </c>
      <c r="B308" s="919"/>
      <c r="C308" s="919"/>
      <c r="D308" s="919"/>
      <c r="E308" s="187"/>
      <c r="F308" s="920" t="s">
        <v>271</v>
      </c>
      <c r="G308" s="920"/>
      <c r="H308" s="920"/>
    </row>
    <row r="309" spans="1:8" ht="12.75">
      <c r="A309" s="169"/>
      <c r="B309" s="50" t="s">
        <v>272</v>
      </c>
      <c r="C309" s="188"/>
      <c r="D309" s="184"/>
      <c r="E309" s="184"/>
      <c r="F309" s="178">
        <f>VLOOKUP(B309,СГИ!$K$16:$L$28,2,TRUE)</f>
        <v>3700</v>
      </c>
      <c r="G309" s="178">
        <f>VLOOKUP(B309,СГИ!$K$16:$M$28,3,TRUE)</f>
        <v>6670</v>
      </c>
      <c r="H309" s="94"/>
    </row>
    <row r="310" spans="1:8" ht="12.75">
      <c r="A310" s="169"/>
      <c r="B310" s="50" t="s">
        <v>273</v>
      </c>
      <c r="C310" s="188"/>
      <c r="D310" s="184"/>
      <c r="E310" s="184"/>
      <c r="F310" s="178">
        <f>VLOOKUP(B310,СГИ!$K$16:$L$28,2,TRUE)</f>
        <v>3700</v>
      </c>
      <c r="G310" s="94"/>
      <c r="H310" s="94"/>
    </row>
    <row r="311" spans="1:8" ht="12.75">
      <c r="A311" s="169"/>
      <c r="B311" s="50" t="s">
        <v>274</v>
      </c>
      <c r="C311" s="188"/>
      <c r="D311" s="184"/>
      <c r="E311" s="184"/>
      <c r="F311" s="178">
        <f>VLOOKUP(B311,СГИ!$K$16:$L$28,2,TRUE)</f>
        <v>3700</v>
      </c>
      <c r="G311" s="94"/>
      <c r="H311" s="94"/>
    </row>
    <row r="312" spans="1:8" ht="12.75">
      <c r="A312" s="169"/>
      <c r="B312" s="50" t="s">
        <v>275</v>
      </c>
      <c r="C312" s="188"/>
      <c r="D312" s="184"/>
      <c r="E312" s="184"/>
      <c r="F312" s="178">
        <f>VLOOKUP(B312,СГИ!$K$16:$L$28,2,TRUE)</f>
        <v>3700</v>
      </c>
      <c r="G312" s="94"/>
      <c r="H312" s="94"/>
    </row>
    <row r="313" spans="1:8" ht="12.75">
      <c r="A313" s="169"/>
      <c r="B313" s="50" t="s">
        <v>276</v>
      </c>
      <c r="C313" s="188"/>
      <c r="D313" s="184"/>
      <c r="E313" s="184"/>
      <c r="F313" s="178">
        <f>VLOOKUP(B313,СГИ!$K$16:$L$28,2,TRUE)</f>
        <v>1870</v>
      </c>
      <c r="G313" s="94"/>
      <c r="H313" s="94"/>
    </row>
    <row r="314" spans="1:8" ht="12.75">
      <c r="A314" s="169"/>
      <c r="B314" s="50" t="s">
        <v>277</v>
      </c>
      <c r="C314" s="188"/>
      <c r="D314" s="184"/>
      <c r="E314" s="184"/>
      <c r="F314" s="178">
        <f>VLOOKUP(B314,СГИ!$K$16:$L$28,2,TRUE)</f>
        <v>3700</v>
      </c>
      <c r="G314" s="94"/>
      <c r="H314" s="94"/>
    </row>
    <row r="315" spans="1:8" ht="12.75">
      <c r="A315" s="169"/>
      <c r="B315" s="50" t="s">
        <v>278</v>
      </c>
      <c r="C315" s="188"/>
      <c r="D315" s="184"/>
      <c r="E315" s="184"/>
      <c r="F315" s="178">
        <f>VLOOKUP(B315,СГИ!$K$16:$L$28,2,TRUE)</f>
        <v>3700</v>
      </c>
      <c r="G315" s="178">
        <f>VLOOKUP(B315,СГИ!$K$16:$M$28,3,TRUE)</f>
        <v>6670</v>
      </c>
      <c r="H315" s="94"/>
    </row>
    <row r="316" spans="1:8" ht="12.75">
      <c r="A316" s="169"/>
      <c r="B316" s="17" t="s">
        <v>279</v>
      </c>
      <c r="C316" s="189"/>
      <c r="D316" s="91"/>
      <c r="E316" s="91"/>
      <c r="F316" s="183">
        <f>VLOOKUP(B316,СГИ!$K$16:$L$28,2,TRUE)</f>
        <v>5500</v>
      </c>
      <c r="G316" s="94"/>
      <c r="H316" s="94"/>
    </row>
    <row r="317" spans="1:8" ht="12.75">
      <c r="A317" s="169"/>
      <c r="B317" s="50" t="s">
        <v>280</v>
      </c>
      <c r="C317" s="188"/>
      <c r="D317" s="184"/>
      <c r="E317" s="184"/>
      <c r="F317" s="178">
        <f>VLOOKUP(B317,СГИ!$K$16:$L$28,2,TRUE)</f>
        <v>5500</v>
      </c>
      <c r="G317" s="166">
        <f>VLOOKUP(B317,СГИ!$K$16:$M$28,3,TRUE)</f>
        <v>8460</v>
      </c>
      <c r="H317" s="94"/>
    </row>
    <row r="318" spans="1:8" ht="12.75">
      <c r="A318" s="169"/>
      <c r="B318" s="50" t="s">
        <v>281</v>
      </c>
      <c r="C318" s="188"/>
      <c r="D318" s="184"/>
      <c r="E318" s="184"/>
      <c r="F318" s="178">
        <f>VLOOKUP(B318,СГИ!$K$16:$L$28,2,TRUE)</f>
        <v>3700</v>
      </c>
      <c r="G318" s="94"/>
      <c r="H318" s="94"/>
    </row>
    <row r="319" spans="1:8" ht="13.5" thickBot="1">
      <c r="A319" s="169"/>
      <c r="B319" s="50" t="s">
        <v>282</v>
      </c>
      <c r="C319" s="188"/>
      <c r="D319" s="184"/>
      <c r="E319" s="184"/>
      <c r="F319" s="178">
        <f>VLOOKUP(B319,СГИ!$K$16:$L$28,2,TRUE)</f>
        <v>5500</v>
      </c>
      <c r="G319" s="94"/>
      <c r="H319" s="94"/>
    </row>
    <row r="320" spans="1:8" ht="13.5" thickBot="1">
      <c r="A320" s="169"/>
      <c r="B320" s="50" t="s">
        <v>591</v>
      </c>
      <c r="C320" s="188"/>
      <c r="D320" s="184"/>
      <c r="E320" s="184"/>
      <c r="F320" s="178">
        <f>VLOOKUP(B320,СГИ!$K$16:$L$28,2,TRUE)</f>
        <v>12000</v>
      </c>
      <c r="G320" s="94"/>
      <c r="H320" s="94"/>
    </row>
    <row r="321" spans="1:8" ht="13.5" thickBot="1">
      <c r="A321" s="169"/>
      <c r="B321" s="50" t="s">
        <v>283</v>
      </c>
      <c r="C321" s="188"/>
      <c r="D321" s="184"/>
      <c r="E321" s="184"/>
      <c r="F321" s="178">
        <f>VLOOKUP(B321,СГИ!$K$16:$L$28,2,TRUE)</f>
        <v>3750</v>
      </c>
      <c r="G321" s="94"/>
      <c r="H321" s="94"/>
    </row>
    <row r="322" spans="1:2" ht="19.5" customHeight="1">
      <c r="A322" s="170"/>
      <c r="B322" s="1" t="s">
        <v>284</v>
      </c>
    </row>
    <row r="323" spans="1:2" ht="19.5" customHeight="1">
      <c r="A323" s="170"/>
      <c r="B323" s="1" t="s">
        <v>285</v>
      </c>
    </row>
    <row r="324" spans="1:8" ht="16.5" customHeight="1">
      <c r="A324" s="919" t="s">
        <v>286</v>
      </c>
      <c r="B324" s="919"/>
      <c r="C324" s="919"/>
      <c r="D324" s="919"/>
      <c r="E324" s="187"/>
      <c r="F324" s="920" t="s">
        <v>271</v>
      </c>
      <c r="G324" s="920"/>
      <c r="H324" s="920"/>
    </row>
    <row r="325" spans="1:256" ht="76.5" customHeight="1">
      <c r="A325" s="169"/>
      <c r="B325" s="93"/>
      <c r="C325" s="169"/>
      <c r="D325" s="190" t="s">
        <v>2</v>
      </c>
      <c r="E325" s="190" t="s">
        <v>3</v>
      </c>
      <c r="F325" s="190" t="s">
        <v>287</v>
      </c>
      <c r="G325" s="190" t="s">
        <v>288</v>
      </c>
      <c r="H325" s="94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3.5">
      <c r="A326" s="169"/>
      <c r="B326" s="93" t="s">
        <v>289</v>
      </c>
      <c r="C326" s="169"/>
      <c r="D326" s="41" t="s">
        <v>136</v>
      </c>
      <c r="E326" s="54" t="s">
        <v>140</v>
      </c>
      <c r="F326" s="21">
        <v>8690</v>
      </c>
      <c r="G326" s="21">
        <v>13050</v>
      </c>
      <c r="H326" s="94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169"/>
      <c r="B327" s="93" t="s">
        <v>289</v>
      </c>
      <c r="C327" s="169"/>
      <c r="D327" s="41" t="s">
        <v>290</v>
      </c>
      <c r="E327" s="54" t="s">
        <v>97</v>
      </c>
      <c r="F327" s="21">
        <v>6550</v>
      </c>
      <c r="G327" s="21" t="s">
        <v>291</v>
      </c>
      <c r="H327" s="94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169"/>
      <c r="B328" s="93" t="s">
        <v>289</v>
      </c>
      <c r="C328" s="169"/>
      <c r="D328" s="41" t="s">
        <v>292</v>
      </c>
      <c r="E328" s="54" t="s">
        <v>97</v>
      </c>
      <c r="F328" s="21">
        <v>6550</v>
      </c>
      <c r="G328" s="21" t="s">
        <v>291</v>
      </c>
      <c r="H328" s="94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4.25" customHeight="1">
      <c r="A329" s="169"/>
      <c r="B329" s="93" t="s">
        <v>289</v>
      </c>
      <c r="C329" s="169"/>
      <c r="D329" s="41" t="s">
        <v>293</v>
      </c>
      <c r="E329" s="54" t="s">
        <v>97</v>
      </c>
      <c r="F329" s="21">
        <v>6550</v>
      </c>
      <c r="G329" s="21" t="s">
        <v>291</v>
      </c>
      <c r="H329" s="94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3.5">
      <c r="A330" s="169"/>
      <c r="B330" s="93" t="s">
        <v>289</v>
      </c>
      <c r="C330" s="169"/>
      <c r="D330" s="100" t="s">
        <v>294</v>
      </c>
      <c r="E330" s="54" t="s">
        <v>164</v>
      </c>
      <c r="F330" s="21">
        <v>6550</v>
      </c>
      <c r="G330" s="21" t="s">
        <v>291</v>
      </c>
      <c r="H330" s="94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169"/>
      <c r="B331" s="93" t="s">
        <v>289</v>
      </c>
      <c r="C331" s="169"/>
      <c r="D331" s="100" t="s">
        <v>36</v>
      </c>
      <c r="E331" s="54" t="s">
        <v>164</v>
      </c>
      <c r="F331" s="97">
        <v>13910</v>
      </c>
      <c r="G331" s="21">
        <v>20870</v>
      </c>
      <c r="H331" s="94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3.5">
      <c r="A332" s="169"/>
      <c r="B332" s="93" t="s">
        <v>289</v>
      </c>
      <c r="C332" s="169"/>
      <c r="D332" s="100" t="s">
        <v>192</v>
      </c>
      <c r="E332" s="54" t="s">
        <v>205</v>
      </c>
      <c r="F332" s="21">
        <v>8410</v>
      </c>
      <c r="G332" s="21">
        <v>12620</v>
      </c>
      <c r="H332" s="94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3.5">
      <c r="A333" s="169"/>
      <c r="B333" s="93" t="s">
        <v>289</v>
      </c>
      <c r="C333" s="169"/>
      <c r="D333" s="100" t="s">
        <v>195</v>
      </c>
      <c r="E333" s="54" t="s">
        <v>207</v>
      </c>
      <c r="F333" s="97">
        <v>8900</v>
      </c>
      <c r="G333" s="21">
        <v>13370</v>
      </c>
      <c r="H333" s="94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3.5">
      <c r="A334" s="169"/>
      <c r="B334" s="93" t="s">
        <v>289</v>
      </c>
      <c r="C334" s="169"/>
      <c r="D334" s="100" t="s">
        <v>198</v>
      </c>
      <c r="E334" s="54" t="s">
        <v>210</v>
      </c>
      <c r="F334" s="97">
        <v>9210</v>
      </c>
      <c r="G334" s="21">
        <v>13820</v>
      </c>
      <c r="H334" s="9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3.5">
      <c r="A335" s="169"/>
      <c r="B335" s="93" t="s">
        <v>289</v>
      </c>
      <c r="C335" s="169"/>
      <c r="D335" s="100" t="s">
        <v>88</v>
      </c>
      <c r="E335" s="54" t="s">
        <v>104</v>
      </c>
      <c r="F335" s="97">
        <v>9940</v>
      </c>
      <c r="G335" s="21">
        <v>14920</v>
      </c>
      <c r="H335" s="94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3.5">
      <c r="A336" s="169"/>
      <c r="B336" s="93" t="s">
        <v>289</v>
      </c>
      <c r="C336" s="169"/>
      <c r="D336" s="100" t="s">
        <v>215</v>
      </c>
      <c r="E336" s="54" t="s">
        <v>216</v>
      </c>
      <c r="F336" s="97">
        <v>9210</v>
      </c>
      <c r="G336" s="21">
        <v>13820</v>
      </c>
      <c r="H336" s="94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3.5">
      <c r="A337" s="169"/>
      <c r="B337" s="93" t="s">
        <v>295</v>
      </c>
      <c r="C337" s="169"/>
      <c r="D337" s="100" t="s">
        <v>48</v>
      </c>
      <c r="E337" s="54" t="s">
        <v>218</v>
      </c>
      <c r="F337" s="97">
        <v>16240</v>
      </c>
      <c r="G337" s="21">
        <v>24370</v>
      </c>
      <c r="H337" s="94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3.5">
      <c r="A338" s="169"/>
      <c r="B338" s="93" t="s">
        <v>289</v>
      </c>
      <c r="C338" s="169"/>
      <c r="D338" s="100" t="s">
        <v>73</v>
      </c>
      <c r="E338" s="52" t="s">
        <v>221</v>
      </c>
      <c r="F338" s="97">
        <v>18880</v>
      </c>
      <c r="G338" s="21">
        <v>28320</v>
      </c>
      <c r="H338" s="94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3.5">
      <c r="A339" s="169"/>
      <c r="B339" s="93" t="s">
        <v>295</v>
      </c>
      <c r="C339" s="169"/>
      <c r="D339" s="100" t="s">
        <v>89</v>
      </c>
      <c r="E339" s="54" t="s">
        <v>218</v>
      </c>
      <c r="F339" s="97">
        <v>11980</v>
      </c>
      <c r="G339" s="21">
        <v>17990</v>
      </c>
      <c r="H339" s="94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4.25" thickBot="1">
      <c r="A340" s="169"/>
      <c r="B340" s="93" t="s">
        <v>289</v>
      </c>
      <c r="C340" s="169"/>
      <c r="D340" s="86" t="s">
        <v>117</v>
      </c>
      <c r="E340" s="54" t="s">
        <v>227</v>
      </c>
      <c r="F340" s="166">
        <v>19410</v>
      </c>
      <c r="G340" s="21">
        <v>29130</v>
      </c>
      <c r="H340" s="94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22.5" customHeight="1">
      <c r="A341" s="917" t="s">
        <v>578</v>
      </c>
      <c r="B341" s="917"/>
      <c r="C341" s="917"/>
      <c r="D341" s="917"/>
      <c r="E341" s="917"/>
      <c r="F341" s="917"/>
      <c r="G341" s="917"/>
      <c r="H341" s="917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26.25" thickBot="1">
      <c r="A342" s="50"/>
      <c r="B342" s="50" t="s">
        <v>590</v>
      </c>
      <c r="C342" s="50"/>
      <c r="D342" s="50"/>
      <c r="E342" s="50"/>
      <c r="F342" s="184">
        <v>9590</v>
      </c>
      <c r="G342" s="50"/>
      <c r="H342" s="50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3.5" thickBot="1">
      <c r="A343" s="50"/>
      <c r="B343" s="50" t="s">
        <v>579</v>
      </c>
      <c r="C343" s="50"/>
      <c r="D343" s="50"/>
      <c r="E343" s="50"/>
      <c r="F343" s="184">
        <v>3450</v>
      </c>
      <c r="G343" s="50"/>
      <c r="H343" s="50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3.5" thickBot="1">
      <c r="A344" s="50"/>
      <c r="B344" s="50" t="s">
        <v>580</v>
      </c>
      <c r="C344" s="50"/>
      <c r="D344" s="50"/>
      <c r="E344" s="50"/>
      <c r="F344" s="184">
        <v>3680</v>
      </c>
      <c r="G344" s="50"/>
      <c r="H344" s="50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3.5" thickBot="1">
      <c r="A345" s="50"/>
      <c r="B345" s="50" t="s">
        <v>581</v>
      </c>
      <c r="C345" s="50"/>
      <c r="D345" s="50"/>
      <c r="E345" s="50"/>
      <c r="F345" s="184">
        <v>6330</v>
      </c>
      <c r="G345" s="50"/>
      <c r="H345" s="50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 thickBot="1">
      <c r="A346" s="50"/>
      <c r="B346" s="50" t="s">
        <v>582</v>
      </c>
      <c r="C346" s="50"/>
      <c r="D346" s="50"/>
      <c r="E346" s="50"/>
      <c r="F346" s="184">
        <v>3000</v>
      </c>
      <c r="G346" s="50"/>
      <c r="H346" s="50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 thickBot="1">
      <c r="A347" s="50"/>
      <c r="B347" s="50" t="s">
        <v>601</v>
      </c>
      <c r="C347" s="50"/>
      <c r="D347" s="50"/>
      <c r="E347" s="50"/>
      <c r="F347" s="184">
        <v>75</v>
      </c>
      <c r="G347" s="50"/>
      <c r="H347" s="50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22.5" customHeight="1">
      <c r="A348" s="917" t="s">
        <v>296</v>
      </c>
      <c r="B348" s="917"/>
      <c r="C348" s="917"/>
      <c r="D348" s="917"/>
      <c r="E348" s="917"/>
      <c r="F348" s="917"/>
      <c r="G348" s="917"/>
      <c r="H348" s="917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 thickBot="1">
      <c r="A349" s="50"/>
      <c r="B349" s="50" t="s">
        <v>297</v>
      </c>
      <c r="C349" s="50"/>
      <c r="D349" s="50"/>
      <c r="E349" s="50"/>
      <c r="F349" s="184">
        <v>1660</v>
      </c>
      <c r="G349" s="50"/>
      <c r="H349" s="50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26.25" thickBot="1">
      <c r="A350" s="50"/>
      <c r="B350" s="50" t="s">
        <v>298</v>
      </c>
      <c r="C350" s="50"/>
      <c r="D350" s="50"/>
      <c r="E350" s="50"/>
      <c r="F350" s="184">
        <v>5510</v>
      </c>
      <c r="G350" s="50"/>
      <c r="H350" s="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3.5" thickBot="1">
      <c r="A351" s="50"/>
      <c r="B351" s="50" t="s">
        <v>299</v>
      </c>
      <c r="C351" s="50"/>
      <c r="D351" s="50"/>
      <c r="E351" s="50"/>
      <c r="F351" s="184">
        <v>3860</v>
      </c>
      <c r="G351" s="50"/>
      <c r="H351" s="50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 thickBot="1">
      <c r="A352" s="50"/>
      <c r="B352" s="50" t="s">
        <v>300</v>
      </c>
      <c r="C352" s="50"/>
      <c r="D352" s="50"/>
      <c r="E352" s="50"/>
      <c r="F352" s="184">
        <v>660</v>
      </c>
      <c r="G352" s="50"/>
      <c r="H352" s="50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3.5" thickBot="1">
      <c r="A353" s="50"/>
      <c r="B353" s="50" t="s">
        <v>301</v>
      </c>
      <c r="C353" s="50"/>
      <c r="D353" s="50"/>
      <c r="E353" s="50"/>
      <c r="F353" s="184">
        <v>560</v>
      </c>
      <c r="G353" s="50"/>
      <c r="H353" s="50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8" ht="28.5" customHeight="1" thickBot="1">
      <c r="A354" s="10"/>
      <c r="B354" s="173" t="s">
        <v>233</v>
      </c>
      <c r="C354" s="169"/>
      <c r="D354" s="86"/>
      <c r="E354" s="54"/>
      <c r="F354" s="97">
        <f>СГ1!C26</f>
        <v>4150</v>
      </c>
      <c r="G354" s="94"/>
      <c r="H354" s="94"/>
    </row>
    <row r="355" spans="1:8" s="4" customFormat="1" ht="24" customHeight="1" thickBot="1">
      <c r="A355" s="11"/>
      <c r="B355" s="173" t="s">
        <v>234</v>
      </c>
      <c r="C355" s="169"/>
      <c r="D355" s="86"/>
      <c r="E355" s="54"/>
      <c r="F355" s="97">
        <f>СГ1!C25</f>
        <v>2800</v>
      </c>
      <c r="G355" s="94"/>
      <c r="H355" s="94"/>
    </row>
    <row r="356" spans="1:256" ht="26.25" thickBot="1">
      <c r="A356" s="50"/>
      <c r="B356" s="50" t="s">
        <v>302</v>
      </c>
      <c r="C356" s="50"/>
      <c r="D356" s="50"/>
      <c r="E356" s="50"/>
      <c r="F356" s="184">
        <v>170</v>
      </c>
      <c r="G356" s="50"/>
      <c r="H356" s="50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38.25">
      <c r="A357" s="50"/>
      <c r="B357" s="50" t="s">
        <v>303</v>
      </c>
      <c r="C357" s="50"/>
      <c r="D357" s="50"/>
      <c r="E357" s="50"/>
      <c r="F357" s="184" t="s">
        <v>592</v>
      </c>
      <c r="G357" s="50"/>
      <c r="H357" s="50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38.25">
      <c r="A358" s="50"/>
      <c r="B358" s="50" t="s">
        <v>304</v>
      </c>
      <c r="C358" s="50"/>
      <c r="D358" s="50"/>
      <c r="E358" s="50"/>
      <c r="F358" s="184">
        <v>270</v>
      </c>
      <c r="G358" s="50"/>
      <c r="H358" s="50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>
      <c r="A359" s="50"/>
      <c r="B359" s="50" t="s">
        <v>587</v>
      </c>
      <c r="C359" s="50"/>
      <c r="D359" s="50"/>
      <c r="E359" s="50"/>
      <c r="F359" s="184">
        <v>490</v>
      </c>
      <c r="G359" s="50"/>
      <c r="H359" s="50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>
      <c r="A360" s="50"/>
      <c r="B360" s="50" t="s">
        <v>305</v>
      </c>
      <c r="C360" s="50"/>
      <c r="D360" s="50"/>
      <c r="E360" s="50"/>
      <c r="F360" s="184">
        <v>710</v>
      </c>
      <c r="G360" s="50"/>
      <c r="H360" s="5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25.5">
      <c r="A361" s="50"/>
      <c r="B361" s="50" t="s">
        <v>610</v>
      </c>
      <c r="C361" s="50"/>
      <c r="D361" s="50"/>
      <c r="E361" s="50"/>
      <c r="F361" s="184">
        <v>780</v>
      </c>
      <c r="G361" s="50"/>
      <c r="H361" s="50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50"/>
      <c r="B362" s="50"/>
      <c r="C362" s="50"/>
      <c r="D362" s="50"/>
      <c r="E362" s="50"/>
      <c r="F362" s="184"/>
      <c r="G362" s="50"/>
      <c r="H362" s="50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25.5">
      <c r="A363" s="50"/>
      <c r="B363" s="50" t="s">
        <v>306</v>
      </c>
      <c r="C363" s="50"/>
      <c r="D363" s="50"/>
      <c r="E363" s="50"/>
      <c r="F363" s="184">
        <v>270</v>
      </c>
      <c r="G363" s="50"/>
      <c r="H363" s="50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25.5">
      <c r="A364" s="50"/>
      <c r="B364" s="50" t="s">
        <v>307</v>
      </c>
      <c r="C364" s="50"/>
      <c r="D364" s="50"/>
      <c r="E364" s="50"/>
      <c r="F364" s="184">
        <v>340</v>
      </c>
      <c r="G364" s="50"/>
      <c r="H364" s="50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27">
      <c r="A365" s="50"/>
      <c r="B365" s="50" t="s">
        <v>589</v>
      </c>
      <c r="C365" s="50"/>
      <c r="D365" s="50"/>
      <c r="E365" s="50"/>
      <c r="F365" s="184">
        <v>830</v>
      </c>
      <c r="G365" s="50"/>
      <c r="H365" s="50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27">
      <c r="A366" s="50"/>
      <c r="B366" s="50" t="s">
        <v>588</v>
      </c>
      <c r="C366" s="50"/>
      <c r="D366" s="50"/>
      <c r="E366" s="50"/>
      <c r="F366" s="184">
        <v>830</v>
      </c>
      <c r="G366" s="50"/>
      <c r="H366" s="50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ht="15.75">
      <c r="A367" s="170"/>
    </row>
    <row r="368" ht="14.25">
      <c r="A368" s="191" t="s">
        <v>308</v>
      </c>
    </row>
    <row r="369" ht="14.25">
      <c r="A369" s="191" t="s">
        <v>309</v>
      </c>
    </row>
    <row r="370" ht="12.75">
      <c r="A370" s="129" t="s">
        <v>310</v>
      </c>
    </row>
    <row r="371" ht="12.75">
      <c r="A371" s="129" t="s">
        <v>311</v>
      </c>
    </row>
    <row r="372" ht="12.75">
      <c r="A372" s="62"/>
    </row>
    <row r="373" ht="12.75">
      <c r="A373" s="62"/>
    </row>
    <row r="374" ht="12.75">
      <c r="A374" s="62" t="s">
        <v>312</v>
      </c>
    </row>
    <row r="375" ht="12.75">
      <c r="A375" s="129"/>
    </row>
    <row r="376" ht="12.75">
      <c r="A376" s="129"/>
    </row>
    <row r="377" ht="15.75">
      <c r="A377" s="77"/>
    </row>
    <row r="378" spans="1:3" ht="18.75">
      <c r="A378" s="192" t="s">
        <v>313</v>
      </c>
      <c r="B378" s="193"/>
      <c r="C378" s="193"/>
    </row>
    <row r="379" spans="1:3" ht="18">
      <c r="A379" s="193" t="s">
        <v>314</v>
      </c>
      <c r="B379" s="193"/>
      <c r="C379" s="193"/>
    </row>
    <row r="380" spans="1:3" ht="18">
      <c r="A380" s="193" t="s">
        <v>315</v>
      </c>
      <c r="B380" s="193"/>
      <c r="C380" s="193"/>
    </row>
    <row r="381" spans="1:3" ht="18">
      <c r="A381" s="193" t="s">
        <v>316</v>
      </c>
      <c r="B381" s="193"/>
      <c r="C381" s="193"/>
    </row>
    <row r="382" spans="1:6" ht="18">
      <c r="A382" s="918" t="s">
        <v>317</v>
      </c>
      <c r="B382" s="918"/>
      <c r="C382" s="918" t="s">
        <v>318</v>
      </c>
      <c r="D382" s="918"/>
      <c r="E382" s="918"/>
      <c r="F382" s="934"/>
    </row>
  </sheetData>
  <sheetProtection formatCells="0" formatRows="0"/>
  <autoFilter ref="A1:H376"/>
  <mergeCells count="78">
    <mergeCell ref="A2:D2"/>
    <mergeCell ref="F2:H2"/>
    <mergeCell ref="B3:B4"/>
    <mergeCell ref="C3:C4"/>
    <mergeCell ref="D3:D4"/>
    <mergeCell ref="E3:E4"/>
    <mergeCell ref="F3:H3"/>
    <mergeCell ref="A72:D72"/>
    <mergeCell ref="F72:H72"/>
    <mergeCell ref="B73:B74"/>
    <mergeCell ref="C73:C74"/>
    <mergeCell ref="D73:D74"/>
    <mergeCell ref="E73:E74"/>
    <mergeCell ref="F73:H73"/>
    <mergeCell ref="A88:D88"/>
    <mergeCell ref="F88:H88"/>
    <mergeCell ref="B89:B90"/>
    <mergeCell ref="C89:C90"/>
    <mergeCell ref="D89:D90"/>
    <mergeCell ref="E89:E90"/>
    <mergeCell ref="F89:H89"/>
    <mergeCell ref="A105:D105"/>
    <mergeCell ref="F105:H105"/>
    <mergeCell ref="B106:B107"/>
    <mergeCell ref="C106:C107"/>
    <mergeCell ref="D106:D107"/>
    <mergeCell ref="E106:E107"/>
    <mergeCell ref="F106:H106"/>
    <mergeCell ref="A133:D133"/>
    <mergeCell ref="F133:H133"/>
    <mergeCell ref="B134:B135"/>
    <mergeCell ref="C134:C135"/>
    <mergeCell ref="D134:D135"/>
    <mergeCell ref="E134:E135"/>
    <mergeCell ref="F134:H134"/>
    <mergeCell ref="A186:D186"/>
    <mergeCell ref="E186:H186"/>
    <mergeCell ref="B187:B188"/>
    <mergeCell ref="C187:C188"/>
    <mergeCell ref="D187:D188"/>
    <mergeCell ref="E187:E188"/>
    <mergeCell ref="F187:H187"/>
    <mergeCell ref="A269:D269"/>
    <mergeCell ref="E269:H269"/>
    <mergeCell ref="B270:B271"/>
    <mergeCell ref="C270:C271"/>
    <mergeCell ref="D270:D271"/>
    <mergeCell ref="E270:E271"/>
    <mergeCell ref="F270:H270"/>
    <mergeCell ref="A275:D275"/>
    <mergeCell ref="E275:H275"/>
    <mergeCell ref="B276:B277"/>
    <mergeCell ref="C276:C277"/>
    <mergeCell ref="D276:D277"/>
    <mergeCell ref="E276:E277"/>
    <mergeCell ref="F276:H276"/>
    <mergeCell ref="A284:D284"/>
    <mergeCell ref="E284:H284"/>
    <mergeCell ref="B285:B286"/>
    <mergeCell ref="C285:C286"/>
    <mergeCell ref="D285:D286"/>
    <mergeCell ref="E285:E286"/>
    <mergeCell ref="F285:H285"/>
    <mergeCell ref="A294:D294"/>
    <mergeCell ref="E294:H294"/>
    <mergeCell ref="B295:B296"/>
    <mergeCell ref="C295:C296"/>
    <mergeCell ref="D295:D296"/>
    <mergeCell ref="E295:E296"/>
    <mergeCell ref="F295:H295"/>
    <mergeCell ref="A348:H348"/>
    <mergeCell ref="A382:B382"/>
    <mergeCell ref="C382:E382"/>
    <mergeCell ref="A308:D308"/>
    <mergeCell ref="F308:H308"/>
    <mergeCell ref="A324:D324"/>
    <mergeCell ref="F324:H324"/>
    <mergeCell ref="A341:H341"/>
  </mergeCells>
  <hyperlinks>
    <hyperlink ref="B18" location="'расчет перен'!A1" display="нажать для расчета цены модификаций       ОКА-92М, ОКА-92Т, ОКА-92МТ"/>
    <hyperlink ref="B29" location="'расчет перен'!A1" display="нажать для расчета цены модификаций ОКА-Т, ОКА-МТ"/>
    <hyperlink ref="B39" location="'расчет перен'!A1" display="нажать для расчета цены модификаций ОКА-Т, ОКА-МТ"/>
    <hyperlink ref="B47" location="'расчет перен'!A1" display="нажать для расчета цены модификаций ОКА-Т, ОКА-МТ"/>
    <hyperlink ref="B54" location="'расчет перен'!A1" display="нажать для расчета цены модификаций ОКА-Т, ОКА-МТ"/>
    <hyperlink ref="B60" location="'расчет перен'!A1" display="нажать для расчета цены модификаций ОКА-Т, ОКА-МТ"/>
    <hyperlink ref="B64" location="'расчет перен'!A1" display="нажать для расчета цены модификаций ОКА-Т, ОКА-МТ"/>
    <hyperlink ref="B68" location="'расчет перен'!A1" display="нажать для расчета цены модификаций ОКА-М"/>
    <hyperlink ref="B69" location="'перен_ Хоб__Т'!A1" display="нажать для расчета цены взр/защ. сигнализаторов ОКА-М, записать цифру 1 в голубую ячейку и указать требуемый газ цифрой 1"/>
    <hyperlink ref="B102" location="'расчет перен'!A1" display="Нажать для расчета цены многоканальных переносных г/а &quot;Хоббит-Т&quot;"/>
    <hyperlink ref="B113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19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25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48" location="'расчет стац'!A1" display="нажать для расчета цены многоканального однокомпонентного г/а"/>
    <hyperlink ref="B149" location="'расчет стац'!A1" display="нажать для расчета цены многокомпонентного г/а"/>
    <hyperlink ref="B156" location="'расчет стац'!A1" display="нажать для расчета цены многоканального однокомпонентного г/а"/>
    <hyperlink ref="B157" location="'расчет стац'!A1" display="нажать для расчета цены многокомпонентного г/а"/>
    <hyperlink ref="B164" location="'расчет стац'!A1" display="нажать для расчета цены многоканального однокомпонентного г/а"/>
    <hyperlink ref="B165" location="'расчет стац'!A1" display="нажать для расчета цены многокомпонентного г/а"/>
    <hyperlink ref="B171" location="'расчет стац'!A1" display="нажать для расчета цены многоканального двухкомпонентного г/а"/>
    <hyperlink ref="B172" location="'расчет стац'!A1" display="нажать для расчета цены многокомпонентного г/а"/>
    <hyperlink ref="B178" location="'расчет стац'!A1" display="нажать для расчета цены многоканального двухкомпонентного г/а"/>
    <hyperlink ref="B179" location="'расчет стац'!A1" display="нажать для расчета цены многокомпонентного г/а"/>
    <hyperlink ref="B199" location="'расчет стац'!A1" display="нажать для расчета цены многоканального однокомпонентного г/а"/>
    <hyperlink ref="B200" location="'расчет стац'!A1" display="нажать для расчета цены многокомпонентного г/а"/>
    <hyperlink ref="B205" location="'расчет стац'!A1" display="нажать для расчета цены многоканального однокомпонентного г/а"/>
    <hyperlink ref="B206" location="'расчет стац'!A1" display="нажать для расчета цены многокомпонентного г/а"/>
    <hyperlink ref="B211" location="'расчет стац'!A1" display="нажать для расчета цены многоканального однокомпонентного г/а"/>
    <hyperlink ref="B212" location="'расчет стац'!A1" display="нажать для расчета цены многокомпонентного г/а"/>
    <hyperlink ref="B217" location="'расчет стац'!A1" display="нажать для расчета цены многоканального однокомпонентного г/а"/>
    <hyperlink ref="B218" location="'расчет стац'!A1" display="нажать для расчета цены многокомпонентного г/а"/>
    <hyperlink ref="B223" location="'расчет стац_1'!A1" display="нажать для расчета цены многоканального однокомпонентного г/а"/>
    <hyperlink ref="B224" location="ПРАЙС!A1" display="нажать для расчета цены многокомпонентного г/а"/>
    <hyperlink ref="B229" location="'расчет стац'!A1" display="нажать для расчета цены многоканального однокомпонентного г/а"/>
    <hyperlink ref="B230" location="'расчет стац'!A1" display="нажать для расчета цены многокомпонентного г/а"/>
    <hyperlink ref="B235" location="'расчет стац'!A1" display="нажать для расчета цены многоканального однокомпонентного г/а"/>
    <hyperlink ref="B236" location="'расчет стац'!A1" display="нажать для расчета цены многокомпонентного г/а"/>
    <hyperlink ref="B241" location="'расчет стац'!A1" display="нажать для расчета цены многоканального однокомпонентного г/а"/>
    <hyperlink ref="B242" location="'расчет стац'!A1" display="нажать для расчета цены многокомпонентного г/а"/>
    <hyperlink ref="B247" location="'расчет стац'!A1" display="нажать для расчета цены многоканального однокомпонентного г/а"/>
    <hyperlink ref="B248" location="'расчет стац'!A1" display="нажать для расчета цены многокомпонентного г/а"/>
    <hyperlink ref="B253" location="'расчет стац'!A1" display="нажать для расчета цены многоканального однокомпонентного г/а"/>
    <hyperlink ref="B254" location="'расчет стац'!A1" display="расчет цены многоканальн. многокомпонентного г/а"/>
    <hyperlink ref="B256" location="'расчет стац'!A1" display="Газоанализатор ОКА-Т-HF"/>
    <hyperlink ref="B260" location="'расчет стац'!A1" display="Газоанализатор Хоббит-Т-HF"/>
    <hyperlink ref="B272" location="'расчет стац'!A1" display="нажать для расчета цены взр/защ. г/а &quot;Хоббит-Т&quot; с индикацией и выносным датчиком, записать цифру 1 в голубую ячейку и указать требуемые газы числом каналов"/>
    <hyperlink ref="A382" r:id="rId1" display="E-mail: mail@infogas.ru"/>
    <hyperlink ref="C382" r:id="rId2" display="http://www.infogas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6"/>
  <sheetViews>
    <sheetView workbookViewId="0" topLeftCell="B1">
      <selection activeCell="A1" sqref="A1:A16384"/>
    </sheetView>
  </sheetViews>
  <sheetFormatPr defaultColWidth="11.625" defaultRowHeight="12.75"/>
  <cols>
    <col min="1" max="1" width="0" style="0" hidden="1" customWidth="1"/>
  </cols>
  <sheetData>
    <row r="2" ht="12.75">
      <c r="A2" s="727">
        <v>0.025</v>
      </c>
    </row>
    <row r="3" ht="12.75">
      <c r="A3" s="727">
        <v>0.05</v>
      </c>
    </row>
    <row r="4" ht="12.75">
      <c r="A4" s="727">
        <v>0.07</v>
      </c>
    </row>
    <row r="5" ht="12.75">
      <c r="A5" s="727">
        <v>0.1</v>
      </c>
    </row>
    <row r="6" ht="12.75">
      <c r="A6" s="727">
        <v>0.15</v>
      </c>
    </row>
    <row r="7" ht="12.75">
      <c r="A7" s="727">
        <v>0.175</v>
      </c>
    </row>
    <row r="8" ht="12.75">
      <c r="A8" s="727">
        <v>0.2</v>
      </c>
    </row>
    <row r="76" ht="12.75">
      <c r="F76" t="s">
        <v>347</v>
      </c>
    </row>
  </sheetData>
  <sheetProtection sheet="1" objects="1" scenarios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D19" sqref="D19:F19"/>
    </sheetView>
  </sheetViews>
  <sheetFormatPr defaultColWidth="9.00390625" defaultRowHeight="12.75"/>
  <cols>
    <col min="2" max="2" width="12.00390625" style="0" customWidth="1"/>
  </cols>
  <sheetData>
    <row r="2" spans="1:7" ht="12.75">
      <c r="A2" s="194" t="s">
        <v>319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30">
      <c r="A4" s="195" t="s">
        <v>320</v>
      </c>
      <c r="B4" s="196" t="s">
        <v>321</v>
      </c>
      <c r="C4" s="197" t="s">
        <v>322</v>
      </c>
      <c r="D4" s="198" t="s">
        <v>323</v>
      </c>
      <c r="E4" s="199" t="s">
        <v>324</v>
      </c>
      <c r="F4" s="199" t="s">
        <v>325</v>
      </c>
      <c r="G4" s="197" t="s">
        <v>326</v>
      </c>
    </row>
    <row r="5" spans="1:7" ht="15">
      <c r="A5" s="200" t="s">
        <v>327</v>
      </c>
      <c r="B5" s="201" t="s">
        <v>136</v>
      </c>
      <c r="C5" s="202">
        <v>1</v>
      </c>
      <c r="D5" s="26">
        <f>VLOOKUP(B5,СГИ!$A$8:$E$27,3,TRUE)+СГИ!$D$31</f>
        <v>9960</v>
      </c>
      <c r="E5" s="32">
        <f aca="true" t="shared" si="0" ref="E5:E21">ROUND(D5*0.975,-1)</f>
        <v>9710</v>
      </c>
      <c r="F5" s="32">
        <f aca="true" t="shared" si="1" ref="F5:F21">ROUND(D5*0.95,-1)</f>
        <v>9460</v>
      </c>
      <c r="G5" s="203">
        <f>VLOOKUP(B5,СГИ!$A$8:$G$27,7,TRUE)</f>
        <v>2</v>
      </c>
    </row>
    <row r="6" spans="1:7" ht="16.5">
      <c r="A6" s="200" t="s">
        <v>328</v>
      </c>
      <c r="B6" s="201" t="s">
        <v>329</v>
      </c>
      <c r="C6" s="204">
        <v>1</v>
      </c>
      <c r="D6" s="26">
        <f>VLOOKUP(B6,СГИ!$A$8:$E$27,3,TRUE)+СГИ!$D$31</f>
        <v>7650</v>
      </c>
      <c r="E6" s="32">
        <f t="shared" si="0"/>
        <v>7460</v>
      </c>
      <c r="F6" s="32">
        <f t="shared" si="1"/>
        <v>7270</v>
      </c>
      <c r="G6" s="203">
        <f>VLOOKUP(B6,СГИ!$A$8:$G$27,7,TRUE)</f>
        <v>2</v>
      </c>
    </row>
    <row r="7" spans="1:7" ht="16.5">
      <c r="A7" s="200" t="s">
        <v>328</v>
      </c>
      <c r="B7" s="201" t="s">
        <v>330</v>
      </c>
      <c r="C7" s="204">
        <v>1</v>
      </c>
      <c r="D7" s="26">
        <f>VLOOKUP(B7,СГИ!$A$8:$E$27,3,TRUE)+СГИ!$D$31</f>
        <v>9160</v>
      </c>
      <c r="E7" s="32">
        <f t="shared" si="0"/>
        <v>8930</v>
      </c>
      <c r="F7" s="32">
        <f t="shared" si="1"/>
        <v>8700</v>
      </c>
      <c r="G7" s="203">
        <f>VLOOKUP(B7,СГИ!$A$8:$G$27,7,TRUE)</f>
        <v>2</v>
      </c>
    </row>
    <row r="8" spans="1:7" ht="16.5">
      <c r="A8" s="200" t="s">
        <v>328</v>
      </c>
      <c r="B8" s="201" t="s">
        <v>331</v>
      </c>
      <c r="C8" s="204">
        <v>1</v>
      </c>
      <c r="D8" s="26">
        <f>VLOOKUP(B8,СГИ!$A$8:$E$27,3,TRUE)+СГИ!$D$31</f>
        <v>9160</v>
      </c>
      <c r="E8" s="32">
        <f t="shared" si="0"/>
        <v>8930</v>
      </c>
      <c r="F8" s="32">
        <f t="shared" si="1"/>
        <v>8700</v>
      </c>
      <c r="G8" s="203">
        <f>VLOOKUP(B8,СГИ!$A$8:$G$27,7,TRUE)</f>
        <v>2</v>
      </c>
    </row>
    <row r="9" spans="1:7" ht="16.5">
      <c r="A9" s="200" t="s">
        <v>328</v>
      </c>
      <c r="B9" s="201" t="s">
        <v>332</v>
      </c>
      <c r="C9" s="204">
        <v>1</v>
      </c>
      <c r="D9" s="26">
        <f>VLOOKUP(B9,СГИ!$A$8:$E$27,3,TRUE)+СГИ!$D$31</f>
        <v>9160</v>
      </c>
      <c r="E9" s="32">
        <f t="shared" si="0"/>
        <v>8930</v>
      </c>
      <c r="F9" s="32">
        <f t="shared" si="1"/>
        <v>8700</v>
      </c>
      <c r="G9" s="203">
        <f>VLOOKUP(B9,СГИ!$A$8:$G$27,7,TRUE)</f>
        <v>2</v>
      </c>
    </row>
    <row r="10" spans="1:7" ht="30">
      <c r="A10" s="200" t="s">
        <v>328</v>
      </c>
      <c r="B10" s="201" t="s">
        <v>333</v>
      </c>
      <c r="C10" s="204">
        <v>1</v>
      </c>
      <c r="D10" s="26">
        <f>VLOOKUP(B10,СГИ!$A$8:$E$27,3,TRUE)+СГИ!$D$31</f>
        <v>9160</v>
      </c>
      <c r="E10" s="32">
        <f t="shared" si="0"/>
        <v>8930</v>
      </c>
      <c r="F10" s="32">
        <f t="shared" si="1"/>
        <v>8700</v>
      </c>
      <c r="G10" s="203">
        <f>VLOOKUP(B10,СГИ!$A$8:$G$27,7,TRUE)</f>
        <v>2</v>
      </c>
    </row>
    <row r="11" spans="1:7" ht="16.5">
      <c r="A11" s="200" t="s">
        <v>327</v>
      </c>
      <c r="B11" s="201" t="s">
        <v>334</v>
      </c>
      <c r="C11" s="204">
        <v>1</v>
      </c>
      <c r="D11" s="26">
        <f>VLOOKUP(B11,СГИ!$A$8:$E$27,3,TRUE)+СГИ!$D$31</f>
        <v>15000</v>
      </c>
      <c r="E11" s="32">
        <f t="shared" si="0"/>
        <v>14630</v>
      </c>
      <c r="F11" s="32">
        <f>ROUND(D11*0.95,-1)</f>
        <v>14250</v>
      </c>
      <c r="G11" s="203">
        <v>2</v>
      </c>
    </row>
    <row r="12" spans="1:7" ht="16.5">
      <c r="A12" s="200" t="s">
        <v>327</v>
      </c>
      <c r="B12" s="201" t="s">
        <v>335</v>
      </c>
      <c r="C12" s="204">
        <v>1</v>
      </c>
      <c r="D12" s="26">
        <f>VLOOKUP(B12,СГИ!$A$8:$E$27,3,TRUE)+СГИ!$D$31</f>
        <v>9510</v>
      </c>
      <c r="E12" s="32">
        <f t="shared" si="0"/>
        <v>9270</v>
      </c>
      <c r="F12" s="32">
        <f t="shared" si="1"/>
        <v>9030</v>
      </c>
      <c r="G12" s="203">
        <f>VLOOKUP(B12,СГИ!$A$8:$G$27,7,TRUE)</f>
        <v>2</v>
      </c>
    </row>
    <row r="13" spans="1:7" ht="16.5">
      <c r="A13" s="200" t="s">
        <v>327</v>
      </c>
      <c r="B13" s="201" t="s">
        <v>336</v>
      </c>
      <c r="C13" s="204">
        <v>1</v>
      </c>
      <c r="D13" s="26">
        <f>VLOOKUP(B13,СГИ!$A$8:$E$27,3,TRUE)+СГИ!$D$31</f>
        <v>11040</v>
      </c>
      <c r="E13" s="32">
        <f t="shared" si="0"/>
        <v>10760</v>
      </c>
      <c r="F13" s="32">
        <f t="shared" si="1"/>
        <v>10490</v>
      </c>
      <c r="G13" s="203">
        <f>VLOOKUP(B13,СГИ!$A$8:$G$27,7,TRUE)</f>
        <v>3</v>
      </c>
    </row>
    <row r="14" spans="1:7" ht="16.5">
      <c r="A14" s="200" t="s">
        <v>327</v>
      </c>
      <c r="B14" s="201" t="s">
        <v>337</v>
      </c>
      <c r="C14" s="204">
        <v>1</v>
      </c>
      <c r="D14" s="26">
        <f>VLOOKUP(B14,СГИ!$A$8:$E$27,3,TRUE)+СГИ!$D$31</f>
        <v>10000</v>
      </c>
      <c r="E14" s="32">
        <f t="shared" si="0"/>
        <v>9750</v>
      </c>
      <c r="F14" s="32">
        <f t="shared" si="1"/>
        <v>9500</v>
      </c>
      <c r="G14" s="203">
        <f>VLOOKUP(B14,СГИ!$A$8:$G$27,7,TRUE)</f>
        <v>1</v>
      </c>
    </row>
    <row r="15" spans="1:7" ht="16.5">
      <c r="A15" s="200" t="s">
        <v>327</v>
      </c>
      <c r="B15" s="201" t="s">
        <v>338</v>
      </c>
      <c r="C15" s="204">
        <v>1</v>
      </c>
      <c r="D15" s="26">
        <f>VLOOKUP(B15,СГИ!$A$8:$E$27,3,TRUE)+СГИ!$D$31</f>
        <v>10310</v>
      </c>
      <c r="E15" s="32">
        <f t="shared" si="0"/>
        <v>10050</v>
      </c>
      <c r="F15" s="32">
        <f t="shared" si="1"/>
        <v>9790</v>
      </c>
      <c r="G15" s="203">
        <f>VLOOKUP(B15,СГИ!$A$8:$G$27,7,TRUE)</f>
        <v>1</v>
      </c>
    </row>
    <row r="16" spans="1:7" ht="16.5">
      <c r="A16" s="200" t="s">
        <v>327</v>
      </c>
      <c r="B16" s="201" t="s">
        <v>339</v>
      </c>
      <c r="C16" s="204">
        <v>1</v>
      </c>
      <c r="D16" s="26">
        <f>VLOOKUP(B16,СГИ!$A$8:$E$27,3,TRUE)+СГИ!$D$31</f>
        <v>19980</v>
      </c>
      <c r="E16" s="32">
        <f t="shared" si="0"/>
        <v>19480</v>
      </c>
      <c r="F16" s="32">
        <f t="shared" si="1"/>
        <v>18980</v>
      </c>
      <c r="G16" s="203">
        <f>VLOOKUP(B16,СГИ!$A$8:$G$27,7,TRUE)</f>
        <v>1</v>
      </c>
    </row>
    <row r="17" spans="1:7" ht="15">
      <c r="A17" s="205" t="s">
        <v>340</v>
      </c>
      <c r="B17" s="206" t="s">
        <v>341</v>
      </c>
      <c r="C17" s="207">
        <v>1</v>
      </c>
      <c r="D17" s="68">
        <f>VLOOKUP(B17,СГИ!$A$8:$E$27,3,TRUE)+СГИ!$D$31</f>
        <v>22170</v>
      </c>
      <c r="E17" s="74">
        <f t="shared" si="0"/>
        <v>21620</v>
      </c>
      <c r="F17" s="74">
        <f t="shared" si="1"/>
        <v>21060</v>
      </c>
      <c r="G17" s="208">
        <f>VLOOKUP(B17,СГИ!$A$8:$G$27,7,TRUE)</f>
        <v>2</v>
      </c>
    </row>
    <row r="18" spans="1:7" ht="15">
      <c r="A18" s="200" t="s">
        <v>327</v>
      </c>
      <c r="B18" s="201" t="s">
        <v>117</v>
      </c>
      <c r="C18" s="204">
        <v>1</v>
      </c>
      <c r="D18" s="26">
        <f>VLOOKUP(B18,СГИ!$A$8:$E$27,3,TRUE)+СГИ!$D$31</f>
        <v>24040</v>
      </c>
      <c r="E18" s="32">
        <f t="shared" si="0"/>
        <v>23440</v>
      </c>
      <c r="F18" s="32">
        <f t="shared" si="1"/>
        <v>22840</v>
      </c>
      <c r="G18" s="203">
        <f>VLOOKUP(B18,СГИ!$A$8:$G$27,7,TRUE)</f>
        <v>2</v>
      </c>
    </row>
    <row r="19" spans="1:7" ht="15">
      <c r="A19" s="200" t="s">
        <v>327</v>
      </c>
      <c r="B19" s="201" t="s">
        <v>48</v>
      </c>
      <c r="C19" s="204">
        <v>1</v>
      </c>
      <c r="D19" s="26">
        <f>VLOOKUP(B19,СГИ!$A$8:$E$27,3,TRUE)+СГИ!$D$31</f>
        <v>20870</v>
      </c>
      <c r="E19" s="32">
        <f t="shared" si="0"/>
        <v>20350</v>
      </c>
      <c r="F19" s="32">
        <f t="shared" si="1"/>
        <v>19830</v>
      </c>
      <c r="G19" s="203">
        <f>VLOOKUP(B19,СГИ!$A$8:$G$27,7,TRUE)</f>
        <v>1</v>
      </c>
    </row>
    <row r="20" spans="1:7" ht="16.5">
      <c r="A20" s="200" t="s">
        <v>327</v>
      </c>
      <c r="B20" s="201" t="s">
        <v>342</v>
      </c>
      <c r="C20" s="204">
        <v>1</v>
      </c>
      <c r="D20" s="26">
        <f>VLOOKUP(B20,СГИ!$A$8:$E$27,3,TRUE)+СГИ!$D$31</f>
        <v>13080</v>
      </c>
      <c r="E20" s="32">
        <f t="shared" si="0"/>
        <v>12750</v>
      </c>
      <c r="F20" s="32">
        <f t="shared" si="1"/>
        <v>12430</v>
      </c>
      <c r="G20" s="203">
        <f>VLOOKUP(B20,СГИ!$A$8:$G$27,7,TRUE)</f>
        <v>1</v>
      </c>
    </row>
    <row r="21" spans="1:7" ht="16.5">
      <c r="A21" s="200" t="s">
        <v>343</v>
      </c>
      <c r="B21" s="201" t="s">
        <v>344</v>
      </c>
      <c r="C21" s="209">
        <v>1</v>
      </c>
      <c r="D21" s="26">
        <f>VLOOKUP(B21,СГИ!$A$8:$E$27,3,TRUE)+СГИ!$D$31</f>
        <v>10310</v>
      </c>
      <c r="E21" s="32">
        <f t="shared" si="0"/>
        <v>10050</v>
      </c>
      <c r="F21" s="32">
        <f t="shared" si="1"/>
        <v>9790</v>
      </c>
      <c r="G21" s="203">
        <f>VLOOKUP(B21,СГИ!$A$8:$G$27,7,TRUE)</f>
        <v>1</v>
      </c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210" t="s">
        <v>345</v>
      </c>
      <c r="B23" s="211"/>
      <c r="C23" s="211"/>
      <c r="D23" s="212">
        <f>СГИ!D32</f>
        <v>9870</v>
      </c>
      <c r="E23" s="1"/>
      <c r="F23" s="1"/>
      <c r="G23" s="1"/>
    </row>
    <row r="24" spans="1:7" ht="12.75">
      <c r="A24" s="213" t="s">
        <v>346</v>
      </c>
      <c r="B24" s="214"/>
      <c r="C24" s="214"/>
      <c r="D24" s="215">
        <f>СГИ!D28</f>
        <v>1950</v>
      </c>
      <c r="E24" s="1"/>
      <c r="F24" s="1"/>
      <c r="G24" s="1"/>
    </row>
    <row r="25" spans="1:4" ht="13.5" customHeight="1">
      <c r="A25" s="931" t="s">
        <v>297</v>
      </c>
      <c r="B25" s="931"/>
      <c r="C25" s="931"/>
      <c r="D25" s="50">
        <v>1580</v>
      </c>
    </row>
    <row r="29" spans="2:8" ht="12.75">
      <c r="B29" t="s">
        <v>347</v>
      </c>
      <c r="H29" t="s">
        <v>347</v>
      </c>
    </row>
    <row r="33" ht="12.75">
      <c r="D33" t="s">
        <v>347</v>
      </c>
    </row>
    <row r="34" ht="12.75">
      <c r="C34" t="s">
        <v>347</v>
      </c>
    </row>
  </sheetData>
  <sheetProtection selectLockedCells="1" selectUnlockedCells="1"/>
  <mergeCells count="1">
    <mergeCell ref="A25:C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C1">
      <selection activeCell="E33" sqref="E33"/>
    </sheetView>
  </sheetViews>
  <sheetFormatPr defaultColWidth="9.00390625" defaultRowHeight="12.75"/>
  <cols>
    <col min="1" max="1" width="2.875" style="1" customWidth="1"/>
    <col min="2" max="2" width="10.625" style="216" customWidth="1"/>
    <col min="3" max="3" width="15.375" style="217" customWidth="1"/>
    <col min="4" max="4" width="9.75390625" style="1" customWidth="1"/>
    <col min="5" max="5" width="9.25390625" style="1" customWidth="1"/>
    <col min="6" max="6" width="7.125" style="1" customWidth="1"/>
    <col min="7" max="7" width="7.75390625" style="1" customWidth="1"/>
    <col min="8" max="8" width="12.25390625" style="1" customWidth="1"/>
    <col min="9" max="9" width="8.75390625" style="1" customWidth="1"/>
    <col min="10" max="10" width="11.625" style="1" customWidth="1"/>
    <col min="11" max="11" width="10.25390625" style="1" customWidth="1"/>
    <col min="12" max="12" width="12.875" style="1" customWidth="1"/>
    <col min="13" max="16384" width="8.875" style="1" customWidth="1"/>
  </cols>
  <sheetData>
    <row r="1" spans="2:8" ht="12.75">
      <c r="B1" s="1"/>
      <c r="C1" s="218"/>
      <c r="H1" s="194"/>
    </row>
    <row r="2" spans="1:8" ht="12.75">
      <c r="A2" s="194" t="s">
        <v>348</v>
      </c>
      <c r="C2" s="218"/>
      <c r="H2" s="194"/>
    </row>
    <row r="3" spans="2:8" ht="15">
      <c r="B3" s="1"/>
      <c r="E3" s="219"/>
      <c r="H3" s="194"/>
    </row>
    <row r="4" spans="1:8" ht="30">
      <c r="A4" s="220"/>
      <c r="B4" s="195" t="s">
        <v>320</v>
      </c>
      <c r="C4" s="196" t="s">
        <v>321</v>
      </c>
      <c r="D4" s="197" t="s">
        <v>322</v>
      </c>
      <c r="E4" s="198" t="s">
        <v>323</v>
      </c>
      <c r="F4" s="199" t="s">
        <v>324</v>
      </c>
      <c r="G4" s="199" t="s">
        <v>325</v>
      </c>
      <c r="H4" s="197" t="s">
        <v>326</v>
      </c>
    </row>
    <row r="5" spans="1:8" s="222" customFormat="1" ht="15">
      <c r="A5" s="221">
        <v>1</v>
      </c>
      <c r="B5" s="200" t="s">
        <v>349</v>
      </c>
      <c r="C5" s="201" t="s">
        <v>136</v>
      </c>
      <c r="D5" s="202">
        <v>1</v>
      </c>
      <c r="E5" s="26">
        <f>VLOOKUP(C5,СГ1!$A$4:$I$23,6,TRUE)</f>
        <v>8690</v>
      </c>
      <c r="F5" s="32">
        <f aca="true" t="shared" si="0" ref="F5:F23">ROUND(E5*0.975,-1)</f>
        <v>8470</v>
      </c>
      <c r="G5" s="32">
        <f aca="true" t="shared" si="1" ref="G5:G23">ROUND(E5*0.95,-1)</f>
        <v>8260</v>
      </c>
      <c r="H5" s="203">
        <f>VLOOKUP(C5,СГ1!$A$4:$I$23,5,TRUE)</f>
        <v>2</v>
      </c>
    </row>
    <row r="6" spans="1:8" s="222" customFormat="1" ht="16.5">
      <c r="A6" s="221">
        <v>2</v>
      </c>
      <c r="B6" s="200" t="s">
        <v>349</v>
      </c>
      <c r="C6" s="201" t="s">
        <v>329</v>
      </c>
      <c r="D6" s="204">
        <v>1</v>
      </c>
      <c r="E6" s="26">
        <f>VLOOKUP(C6,СГ1!$A$4:$I$23,6,TRUE)</f>
        <v>7570</v>
      </c>
      <c r="F6" s="32">
        <f t="shared" si="0"/>
        <v>7380</v>
      </c>
      <c r="G6" s="32">
        <f t="shared" si="1"/>
        <v>7190</v>
      </c>
      <c r="H6" s="203">
        <f>VLOOKUP(C6,СГ1!$A$4:$I$23,5,TRUE)</f>
        <v>2</v>
      </c>
    </row>
    <row r="7" spans="1:8" s="222" customFormat="1" ht="16.5">
      <c r="A7" s="221">
        <v>3</v>
      </c>
      <c r="B7" s="200" t="s">
        <v>349</v>
      </c>
      <c r="C7" s="201" t="s">
        <v>350</v>
      </c>
      <c r="D7" s="204">
        <v>2</v>
      </c>
      <c r="E7" s="26">
        <f>VLOOKUP(C7,СГ1!$A$4:$I$23,6,TRUE)</f>
        <v>17190</v>
      </c>
      <c r="F7" s="32">
        <f t="shared" si="0"/>
        <v>16760</v>
      </c>
      <c r="G7" s="32">
        <f t="shared" si="1"/>
        <v>16330</v>
      </c>
      <c r="H7" s="203" t="str">
        <f>VLOOKUP(C7,СГ1!$A$4:$I$23,5,TRUE)</f>
        <v>2+2</v>
      </c>
    </row>
    <row r="8" spans="1:8" s="222" customFormat="1" ht="15">
      <c r="A8" s="221">
        <v>4</v>
      </c>
      <c r="B8" s="200" t="s">
        <v>349</v>
      </c>
      <c r="C8" s="201" t="s">
        <v>182</v>
      </c>
      <c r="D8" s="204">
        <v>2</v>
      </c>
      <c r="E8" s="26">
        <f>VLOOKUP(C8,СГ1!$A$4:$I$23,6,TRUE)</f>
        <v>18680</v>
      </c>
      <c r="F8" s="32">
        <f t="shared" si="0"/>
        <v>18210</v>
      </c>
      <c r="G8" s="32">
        <f t="shared" si="1"/>
        <v>17750</v>
      </c>
      <c r="H8" s="203" t="str">
        <f>VLOOKUP(C8,СГ1!$A$4:$I$23,5,TRUE)</f>
        <v>2+2</v>
      </c>
    </row>
    <row r="9" spans="1:8" s="222" customFormat="1" ht="16.5">
      <c r="A9" s="221">
        <v>5</v>
      </c>
      <c r="B9" s="200" t="s">
        <v>349</v>
      </c>
      <c r="C9" s="201" t="s">
        <v>330</v>
      </c>
      <c r="D9" s="204">
        <v>1</v>
      </c>
      <c r="E9" s="26">
        <f>VLOOKUP(C9,СГ1!$A$4:$I$23,6,TRUE)</f>
        <v>9040</v>
      </c>
      <c r="F9" s="32">
        <f t="shared" si="0"/>
        <v>8810</v>
      </c>
      <c r="G9" s="32">
        <f t="shared" si="1"/>
        <v>8590</v>
      </c>
      <c r="H9" s="203">
        <f>VLOOKUP(C9,СГ1!$A$4:$I$23,5,TRUE)</f>
        <v>2</v>
      </c>
    </row>
    <row r="10" spans="1:8" s="222" customFormat="1" ht="16.5">
      <c r="A10" s="221">
        <v>6</v>
      </c>
      <c r="B10" s="200" t="s">
        <v>349</v>
      </c>
      <c r="C10" s="201" t="s">
        <v>331</v>
      </c>
      <c r="D10" s="204">
        <v>1</v>
      </c>
      <c r="E10" s="26">
        <f>VLOOKUP(C10,СГ1!$A$4:$I$23,6,TRUE)</f>
        <v>9040</v>
      </c>
      <c r="F10" s="32">
        <f t="shared" si="0"/>
        <v>8810</v>
      </c>
      <c r="G10" s="32">
        <f t="shared" si="1"/>
        <v>8590</v>
      </c>
      <c r="H10" s="203">
        <f>VLOOKUP(C10,СГ1!$A$4:$I$23,5,TRUE)</f>
        <v>2</v>
      </c>
    </row>
    <row r="11" spans="1:8" s="222" customFormat="1" ht="16.5">
      <c r="A11" s="221">
        <v>7</v>
      </c>
      <c r="B11" s="200" t="s">
        <v>349</v>
      </c>
      <c r="C11" s="201" t="s">
        <v>332</v>
      </c>
      <c r="D11" s="204">
        <v>1</v>
      </c>
      <c r="E11" s="26">
        <f>VLOOKUP(C11,СГ1!$A$4:$I$23,6,TRUE)</f>
        <v>9040</v>
      </c>
      <c r="F11" s="32">
        <f t="shared" si="0"/>
        <v>8810</v>
      </c>
      <c r="G11" s="32">
        <f t="shared" si="1"/>
        <v>8590</v>
      </c>
      <c r="H11" s="203">
        <f>VLOOKUP(C11,СГ1!$A$4:$I$23,5,TRUE)</f>
        <v>2</v>
      </c>
    </row>
    <row r="12" spans="1:8" s="222" customFormat="1" ht="30">
      <c r="A12" s="221">
        <v>8</v>
      </c>
      <c r="B12" s="200" t="s">
        <v>349</v>
      </c>
      <c r="C12" s="201" t="s">
        <v>333</v>
      </c>
      <c r="D12" s="204">
        <v>1</v>
      </c>
      <c r="E12" s="26">
        <f>VLOOKUP(C12,СГ1!$A$4:$I$23,6,TRUE)</f>
        <v>9040</v>
      </c>
      <c r="F12" s="32">
        <f t="shared" si="0"/>
        <v>8810</v>
      </c>
      <c r="G12" s="32">
        <f t="shared" si="1"/>
        <v>8590</v>
      </c>
      <c r="H12" s="203">
        <f>VLOOKUP(C12,СГ1!$A$4:$I$23,5,TRUE)</f>
        <v>2</v>
      </c>
    </row>
    <row r="13" spans="1:8" s="222" customFormat="1" ht="37.5" customHeight="1">
      <c r="A13" s="221">
        <v>9</v>
      </c>
      <c r="B13" s="200" t="s">
        <v>349</v>
      </c>
      <c r="C13" s="201" t="s">
        <v>335</v>
      </c>
      <c r="D13" s="204">
        <v>1</v>
      </c>
      <c r="E13" s="26">
        <f>VLOOKUP(C13,СГ1!$A$4:$I$23,6,TRUE)</f>
        <v>10990</v>
      </c>
      <c r="F13" s="32">
        <f t="shared" si="0"/>
        <v>10720</v>
      </c>
      <c r="G13" s="32">
        <f t="shared" si="1"/>
        <v>10440</v>
      </c>
      <c r="H13" s="203">
        <f>VLOOKUP(C13,СГ1!$A$4:$I$23,5,TRUE)</f>
        <v>2</v>
      </c>
    </row>
    <row r="14" spans="1:8" s="222" customFormat="1" ht="41.25" customHeight="1">
      <c r="A14" s="221">
        <v>10</v>
      </c>
      <c r="B14" s="200" t="s">
        <v>349</v>
      </c>
      <c r="C14" s="201" t="s">
        <v>336</v>
      </c>
      <c r="D14" s="204">
        <v>1</v>
      </c>
      <c r="E14" s="26">
        <f>VLOOKUP(C14,СГ1!$A$4:$I$23,6,TRUE)</f>
        <v>13020</v>
      </c>
      <c r="F14" s="32">
        <f t="shared" si="0"/>
        <v>12690</v>
      </c>
      <c r="G14" s="32">
        <f t="shared" si="1"/>
        <v>12370</v>
      </c>
      <c r="H14" s="203">
        <f>VLOOKUP(C14,СГ1!$A$4:$I$23,5,TRUE)</f>
        <v>3</v>
      </c>
    </row>
    <row r="15" spans="1:8" ht="39.75" customHeight="1">
      <c r="A15" s="221">
        <v>11</v>
      </c>
      <c r="B15" s="200" t="s">
        <v>349</v>
      </c>
      <c r="C15" s="201" t="s">
        <v>337</v>
      </c>
      <c r="D15" s="204">
        <v>1</v>
      </c>
      <c r="E15" s="26">
        <f>VLOOKUP(C15,СГ1!$A$4:$I$23,6,TRUE)</f>
        <v>11810</v>
      </c>
      <c r="F15" s="32">
        <f t="shared" si="0"/>
        <v>11510</v>
      </c>
      <c r="G15" s="32">
        <f t="shared" si="1"/>
        <v>11220</v>
      </c>
      <c r="H15" s="203">
        <f>VLOOKUP(C15,СГ1!$A$4:$I$23,5,TRUE)</f>
        <v>1</v>
      </c>
    </row>
    <row r="16" spans="1:8" ht="16.5">
      <c r="A16" s="221">
        <v>12</v>
      </c>
      <c r="B16" s="200" t="s">
        <v>349</v>
      </c>
      <c r="C16" s="201" t="s">
        <v>338</v>
      </c>
      <c r="D16" s="204">
        <v>1</v>
      </c>
      <c r="E16" s="26">
        <f>VLOOKUP(C16,СГ1!$A$4:$I$23,6,TRUE)</f>
        <v>12200</v>
      </c>
      <c r="F16" s="32">
        <f t="shared" si="0"/>
        <v>11900</v>
      </c>
      <c r="G16" s="32">
        <f t="shared" si="1"/>
        <v>11590</v>
      </c>
      <c r="H16" s="203">
        <f>VLOOKUP(C16,СГ1!$A$4:$I$23,5,TRUE)</f>
        <v>1</v>
      </c>
    </row>
    <row r="17" spans="1:8" ht="16.5">
      <c r="A17" s="221">
        <v>13</v>
      </c>
      <c r="B17" s="200" t="s">
        <v>349</v>
      </c>
      <c r="C17" s="201" t="s">
        <v>344</v>
      </c>
      <c r="D17" s="204">
        <v>1</v>
      </c>
      <c r="E17" s="26">
        <f>VLOOKUP(C17,СГ1!$A$4:$I$23,6,TRUE)</f>
        <v>11420</v>
      </c>
      <c r="F17" s="32">
        <f t="shared" si="0"/>
        <v>11130</v>
      </c>
      <c r="G17" s="32">
        <f t="shared" si="1"/>
        <v>10850</v>
      </c>
      <c r="H17" s="203">
        <f>VLOOKUP(C17,СГ1!$A$4:$I$23,5,TRUE)</f>
        <v>1</v>
      </c>
    </row>
    <row r="18" spans="1:8" ht="16.5">
      <c r="A18" s="221">
        <v>14</v>
      </c>
      <c r="B18" s="200" t="s">
        <v>349</v>
      </c>
      <c r="C18" s="201" t="s">
        <v>339</v>
      </c>
      <c r="D18" s="204">
        <v>1</v>
      </c>
      <c r="E18" s="26">
        <f>VLOOKUP(C18,СГ1!$A$4:$I$23,6,TRUE)</f>
        <v>24540</v>
      </c>
      <c r="F18" s="32">
        <f t="shared" si="0"/>
        <v>23930</v>
      </c>
      <c r="G18" s="32">
        <f>ROUND(E18*0.95,-1)</f>
        <v>23310</v>
      </c>
      <c r="H18" s="203">
        <f>VLOOKUP(C18,СГ1!$A$4:$I$23,5,TRUE)</f>
        <v>1</v>
      </c>
    </row>
    <row r="19" spans="1:8" ht="15">
      <c r="A19" s="223">
        <v>15</v>
      </c>
      <c r="B19" s="205" t="s">
        <v>340</v>
      </c>
      <c r="C19" s="206" t="s">
        <v>341</v>
      </c>
      <c r="D19" s="207">
        <v>1</v>
      </c>
      <c r="E19" s="68">
        <f>VLOOKUP(C19,СГ1!$A$4:$I$23,6,TRUE)</f>
        <v>28070</v>
      </c>
      <c r="F19" s="74">
        <f t="shared" si="0"/>
        <v>27370</v>
      </c>
      <c r="G19" s="74">
        <f t="shared" si="1"/>
        <v>26670</v>
      </c>
      <c r="H19" s="208">
        <f>VLOOKUP(C19,СГ1!$A$4:$I$23,5,TRUE)</f>
        <v>2</v>
      </c>
    </row>
    <row r="20" spans="1:8" ht="18.75" customHeight="1">
      <c r="A20" s="224">
        <v>16</v>
      </c>
      <c r="B20" s="200" t="s">
        <v>349</v>
      </c>
      <c r="C20" s="201" t="s">
        <v>117</v>
      </c>
      <c r="D20" s="204">
        <v>1</v>
      </c>
      <c r="E20" s="26">
        <f>VLOOKUP(C20,СГ1!$A$4:$I$23,6,TRUE)</f>
        <v>28070</v>
      </c>
      <c r="F20" s="32">
        <f t="shared" si="0"/>
        <v>27370</v>
      </c>
      <c r="G20" s="32">
        <f t="shared" si="1"/>
        <v>26670</v>
      </c>
      <c r="H20" s="203">
        <f>VLOOKUP(C20,СГ1!$A$4:$I$23,5,TRUE)</f>
        <v>2</v>
      </c>
    </row>
    <row r="21" spans="1:9" ht="15">
      <c r="A21" s="224">
        <v>17</v>
      </c>
      <c r="B21" s="200" t="s">
        <v>327</v>
      </c>
      <c r="C21" s="201" t="s">
        <v>48</v>
      </c>
      <c r="D21" s="204">
        <v>1</v>
      </c>
      <c r="E21" s="225">
        <f>VLOOKUP(C21,СГ1!$A$4:$I$23,6,TRUE)</f>
        <v>21070</v>
      </c>
      <c r="F21" s="32">
        <f t="shared" si="0"/>
        <v>20540</v>
      </c>
      <c r="G21" s="32">
        <f t="shared" si="1"/>
        <v>20020</v>
      </c>
      <c r="H21" s="203">
        <f>VLOOKUP(C21,СГ1!$A$4:$I$23,5,TRUE)</f>
        <v>1</v>
      </c>
      <c r="I21" s="650" t="s">
        <v>585</v>
      </c>
    </row>
    <row r="22" spans="1:8" ht="16.5">
      <c r="A22" s="224">
        <v>18</v>
      </c>
      <c r="B22" s="200" t="s">
        <v>327</v>
      </c>
      <c r="C22" s="201" t="s">
        <v>342</v>
      </c>
      <c r="D22" s="204">
        <v>1</v>
      </c>
      <c r="E22" s="225">
        <f>VLOOKUP(C22,СГ1!$A$4:$I$23,6,TRUE)</f>
        <v>15150</v>
      </c>
      <c r="F22" s="32">
        <f t="shared" si="0"/>
        <v>14770</v>
      </c>
      <c r="G22" s="32">
        <f t="shared" si="1"/>
        <v>14390</v>
      </c>
      <c r="H22" s="203">
        <f>VLOOKUP(C22,СГ1!$A$4:$I$23,5,TRUE)</f>
        <v>1</v>
      </c>
    </row>
    <row r="23" spans="1:8" ht="16.5">
      <c r="A23" s="224">
        <v>19</v>
      </c>
      <c r="B23" s="200" t="s">
        <v>349</v>
      </c>
      <c r="C23" s="201" t="s">
        <v>344</v>
      </c>
      <c r="D23" s="209">
        <v>1</v>
      </c>
      <c r="E23" s="26">
        <f>VLOOKUP(C23,СГ1!$A$4:$I$23,6,TRUE)</f>
        <v>11420</v>
      </c>
      <c r="F23" s="74">
        <f t="shared" si="0"/>
        <v>11130</v>
      </c>
      <c r="G23" s="74">
        <f t="shared" si="1"/>
        <v>10850</v>
      </c>
      <c r="H23" s="226">
        <f>VLOOKUP(C23,СГ1!$A$4:$I$23,5,TRUE)</f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5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4" sqref="D4"/>
    </sheetView>
  </sheetViews>
  <sheetFormatPr defaultColWidth="9.00390625" defaultRowHeight="39.75" customHeight="1"/>
  <cols>
    <col min="1" max="1" width="3.125" style="0" customWidth="1"/>
    <col min="2" max="2" width="4.375" style="0" customWidth="1"/>
    <col min="3" max="3" width="4.75390625" style="0" customWidth="1"/>
    <col min="4" max="4" width="21.375" style="0" customWidth="1"/>
    <col min="5" max="5" width="8.25390625" style="0" customWidth="1"/>
    <col min="6" max="6" width="7.625" style="0" customWidth="1"/>
    <col min="7" max="7" width="8.00390625" style="0" customWidth="1"/>
    <col min="8" max="8" width="8.625" style="0" customWidth="1"/>
    <col min="9" max="9" width="16.75390625" style="0" customWidth="1"/>
    <col min="10" max="10" width="21.00390625" style="0" customWidth="1"/>
    <col min="11" max="11" width="43.875" style="0" customWidth="1"/>
    <col min="12" max="12" width="9.625" style="0" hidden="1" customWidth="1"/>
    <col min="13" max="13" width="5.875" style="0" hidden="1" customWidth="1"/>
    <col min="14" max="14" width="10.25390625" style="0" hidden="1" customWidth="1"/>
    <col min="15" max="15" width="10.125" style="227" hidden="1" customWidth="1"/>
    <col min="16" max="16" width="19.25390625" style="0" hidden="1" customWidth="1"/>
    <col min="17" max="17" width="10.625" style="0" hidden="1" customWidth="1"/>
    <col min="18" max="19" width="9.125" style="0" hidden="1" customWidth="1"/>
    <col min="20" max="20" width="19.00390625" style="0" hidden="1" customWidth="1"/>
    <col min="21" max="21" width="10.625" style="0" hidden="1" customWidth="1"/>
    <col min="22" max="38" width="4.875" style="0" hidden="1" customWidth="1"/>
    <col min="39" max="39" width="9.125" style="0" hidden="1" customWidth="1"/>
  </cols>
  <sheetData>
    <row r="1" spans="1:13" ht="14.25" customHeight="1">
      <c r="A1" s="228"/>
      <c r="B1" s="228"/>
      <c r="C1" s="229" t="s">
        <v>351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4" ht="12" customHeight="1">
      <c r="A2" s="228"/>
      <c r="B2" s="228"/>
      <c r="C2" s="230" t="s">
        <v>352</v>
      </c>
      <c r="D2" s="228"/>
      <c r="H2" s="231"/>
      <c r="I2" s="231"/>
      <c r="J2" s="232"/>
      <c r="K2" s="232"/>
      <c r="L2" s="228"/>
      <c r="M2" s="228"/>
      <c r="N2" s="228"/>
    </row>
    <row r="3" spans="1:14" ht="12" customHeight="1">
      <c r="A3" s="228" t="s">
        <v>347</v>
      </c>
      <c r="B3" s="228"/>
      <c r="C3" s="233" t="s">
        <v>353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ht="16.5" customHeight="1">
      <c r="A4" s="228"/>
      <c r="B4" s="228"/>
      <c r="C4" s="228"/>
      <c r="D4" s="228"/>
      <c r="E4" s="228"/>
      <c r="F4" s="228"/>
      <c r="G4" s="228"/>
      <c r="H4" s="228"/>
      <c r="I4" s="228"/>
      <c r="J4" s="234" t="s">
        <v>354</v>
      </c>
      <c r="K4" s="234"/>
      <c r="L4" s="234"/>
      <c r="M4" s="234"/>
      <c r="N4" s="234"/>
    </row>
    <row r="5" spans="2:26" s="1" customFormat="1" ht="26.25" customHeight="1">
      <c r="B5" s="235"/>
      <c r="C5" s="235"/>
      <c r="D5" s="236" t="s">
        <v>355</v>
      </c>
      <c r="E5" s="237" t="s">
        <v>356</v>
      </c>
      <c r="F5" s="238"/>
      <c r="G5" s="239" t="s">
        <v>602</v>
      </c>
      <c r="H5" s="240" t="s">
        <v>357</v>
      </c>
      <c r="I5" s="841" t="s">
        <v>358</v>
      </c>
      <c r="J5" s="845"/>
      <c r="K5" s="846"/>
      <c r="L5" s="242" t="s">
        <v>359</v>
      </c>
      <c r="M5" s="243" t="s">
        <v>360</v>
      </c>
      <c r="N5" s="244"/>
      <c r="O5" s="245" t="str">
        <f>IF(E26=1,"ГИРЛЯНДА","звезда")</f>
        <v>звезда</v>
      </c>
      <c r="P5" s="246" t="str">
        <f>IF(E25=1,"ВСЕ ВЗРЫВОЗАЩ,",IF(SUM(G7:G24)&gt;0,"есть взрывозащ. каналы","не взрывозащ."))</f>
        <v>не взрывозащ.</v>
      </c>
      <c r="Q5" s="247" t="s">
        <v>361</v>
      </c>
      <c r="R5" s="247" t="s">
        <v>362</v>
      </c>
      <c r="S5" s="247" t="s">
        <v>363</v>
      </c>
      <c r="T5"/>
      <c r="U5" s="248" t="s">
        <v>364</v>
      </c>
      <c r="V5"/>
      <c r="W5"/>
      <c r="X5"/>
      <c r="Y5"/>
      <c r="Z5"/>
    </row>
    <row r="6" spans="2:39" ht="28.5" customHeight="1">
      <c r="B6" s="249"/>
      <c r="C6" s="249"/>
      <c r="D6" s="250" t="s">
        <v>365</v>
      </c>
      <c r="E6" s="251" t="s">
        <v>322</v>
      </c>
      <c r="F6" s="252" t="s">
        <v>326</v>
      </c>
      <c r="G6" s="253" t="s">
        <v>366</v>
      </c>
      <c r="H6" s="254" t="str">
        <f>IF(E27=1,"КНС или мороз","нет")</f>
        <v>нет</v>
      </c>
      <c r="I6" s="842" t="str">
        <f>IF(E26=1,"ГИРЛЯНДА","звезда")</f>
        <v>звезда</v>
      </c>
      <c r="J6" s="847" t="s">
        <v>367</v>
      </c>
      <c r="K6" s="848" t="s">
        <v>368</v>
      </c>
      <c r="L6" s="843" t="s">
        <v>369</v>
      </c>
      <c r="M6" s="255" t="s">
        <v>370</v>
      </c>
      <c r="N6" s="256" t="s">
        <v>371</v>
      </c>
      <c r="O6" s="256" t="s">
        <v>322</v>
      </c>
      <c r="P6" s="257" t="s">
        <v>372</v>
      </c>
      <c r="Q6" s="258" t="s">
        <v>356</v>
      </c>
      <c r="R6" s="258" t="s">
        <v>356</v>
      </c>
      <c r="S6" s="258" t="s">
        <v>356</v>
      </c>
      <c r="T6" s="259"/>
      <c r="U6" s="260">
        <f>IF(T7="","",T7)</f>
      </c>
      <c r="V6" s="260">
        <f>IF(T8="","",T8)</f>
      </c>
      <c r="W6" s="260">
        <f>IF(T9="","",T9)</f>
      </c>
      <c r="X6" s="260">
        <f>IF(T10="","",T10)</f>
      </c>
      <c r="Y6" s="260">
        <f>IF(T11="","",T11)</f>
      </c>
      <c r="Z6" s="261">
        <f>IF(T12="","",T12)</f>
      </c>
      <c r="AA6" s="261">
        <f>IF(T13="","",T13)</f>
      </c>
      <c r="AB6" s="261">
        <f>IF(T14="","",T14)</f>
      </c>
      <c r="AC6" s="261">
        <f>IF(T15="","",T15)</f>
      </c>
      <c r="AD6" s="261">
        <f>IF(T16="","",T16)</f>
      </c>
      <c r="AE6" s="261">
        <f>IF(T17="","",T17)</f>
      </c>
      <c r="AF6" s="261">
        <f>IF(T18="","",T18)</f>
      </c>
      <c r="AG6" s="261">
        <f>IF(T19="","",T19)</f>
      </c>
      <c r="AH6" s="261">
        <f>IF(T20="","",T20)</f>
      </c>
      <c r="AI6" s="261">
        <f>IF(T21="","",T21)</f>
      </c>
      <c r="AJ6" s="261">
        <f>IF(T22="","",T22)</f>
      </c>
      <c r="AK6" s="261">
        <f>IF(T23="","",T23)</f>
      </c>
      <c r="AL6" s="261">
        <f>IF(T24="","",T24)</f>
      </c>
      <c r="AM6" s="262">
        <f>CONCATENATE(AM7,AM8,AM9,AM10,AM11,AM12,AM13,AM14,AM15,AM16,AM17,AM18,AM19,AM20,AM21,AM22,AM23,AM24)</f>
      </c>
    </row>
    <row r="7" spans="2:39" ht="24" customHeight="1">
      <c r="B7" s="263" t="s">
        <v>373</v>
      </c>
      <c r="C7" s="264"/>
      <c r="D7" s="265" t="s">
        <v>374</v>
      </c>
      <c r="E7" s="266"/>
      <c r="F7" s="266"/>
      <c r="G7" s="266"/>
      <c r="H7" s="267" t="s">
        <v>375</v>
      </c>
      <c r="J7" s="849" t="s">
        <v>376</v>
      </c>
      <c r="K7" s="850" t="str">
        <f>IF(O27&gt;16,"превышение числа каналов",P26)</f>
        <v>данные не введены</v>
      </c>
      <c r="L7" s="269">
        <f>IF(AND(E7&gt;0,SUM(E$7:E$24)&lt;17),IF(OR(F7=1,F7=2,F7=3),IF(AND(L$25&gt;1,E$27=1),1,F7),IF(AND(F7="",L$25&gt;1,E$27=1),1,VLOOKUP(D7,СГИ!$A$8:$G$27,7,TRUE))),"")</f>
      </c>
      <c r="M7" s="269">
        <f>IF(E7&gt;0,D7,"")</f>
      </c>
      <c r="N7" s="270">
        <f>IF(AND($O7&gt;1,$O7&lt;17),CONCATENATE("-",$O7,$M7),IF($O7=1,CONCATENATE("-",$M7),""))</f>
      </c>
      <c r="O7" s="271">
        <f>IF(M7="",0,E7)</f>
        <v>0</v>
      </c>
      <c r="P7" s="272">
        <f>IF(AND(E$25=1,NOT(E$26=1)),E7,G7)</f>
        <v>0</v>
      </c>
      <c r="Q7" s="273">
        <f>IF(SUM($E$7:$E$24)&gt;8,IF(OR(D7="NO2",D7="HCl"),"--",VLOOKUP(D7,СГИ!$A$8:$G$27,4,TRUE)+VLOOKUP(D7,СГИ!$A$8:$G$27,2,TRUE)),VLOOKUP(D7,СГИ!$A$8:$G$27,4,TRUE))</f>
        <v>9210</v>
      </c>
      <c r="R7" s="274">
        <f>IF(O7&gt;0,VLOOKUP(S7,СГИ!$A$8:$G$27,6,TRUE),"")</f>
      </c>
      <c r="S7" s="275">
        <f aca="true" t="shared" si="0" ref="S7:S24">M7</f>
      </c>
      <c r="T7" s="276">
        <f>IF(S7="","",S7)</f>
      </c>
      <c r="U7" s="277">
        <f>IF(IF(ISNA(INDEX(СГИ!$P$3:$AI$22,VLOOKUP($T7,СГИ!$N$3:$O$22,2),HLOOKUP(U$6,СГИ!$P$1:$AI$2,2))),"",INDEX(СГИ!$P$3:$AI$22,VLOOKUP($T7,СГИ!$N$3:$O$22,2),HLOOKUP(U$6,СГИ!$P$1:$AI$2,2)))=1,CONCATENATE("при измерении ",$T7," ",U$6," не допускается ! "),"")</f>
      </c>
      <c r="V7" s="277">
        <f>IF(IF(ISNA(INDEX(СГИ!$P$3:$AI$22,VLOOKUP($T7,СГИ!$N$3:$O$22,2),HLOOKUP(V$6,СГИ!$P$1:$AI$2,2))),"",INDEX(СГИ!$P$3:$AI$22,VLOOKUP($T7,СГИ!$N$3:$O$22,2),HLOOKUP(V$6,СГИ!$P$1:$AI$2,2)))=1,CONCATENATE("при измерении ",$T7," ",V$6," не допускается ! "),"")</f>
      </c>
      <c r="W7" s="277">
        <f>IF(IF(ISNA(INDEX(СГИ!$P$3:$AI$22,VLOOKUP($T7,СГИ!$N$3:$O$22,2),HLOOKUP(W$6,СГИ!$P$1:$AI$2,2))),"",INDEX(СГИ!$P$3:$AI$22,VLOOKUP($T7,СГИ!$N$3:$O$22,2),HLOOKUP(W$6,СГИ!$P$1:$AI$2,2)))=1,CONCATENATE("при измерении ",$T7," ",W$6," не допускается ! "),"")</f>
      </c>
      <c r="X7" s="277">
        <f>IF(IF(ISNA(INDEX(СГИ!$P$3:$AI$22,VLOOKUP($T7,СГИ!$N$3:$O$22,2),HLOOKUP(X$6,СГИ!$P$1:$AI$2,2))),"",INDEX(СГИ!$P$3:$AI$22,VLOOKUP($T7,СГИ!$N$3:$O$22,2),HLOOKUP(X$6,СГИ!$P$1:$AI$2,2)))=1,CONCATENATE("при измерении ",$T7," ",X$6," не допускается ! "),"")</f>
      </c>
      <c r="Y7" s="277">
        <f>IF(IF(ISNA(INDEX(СГИ!$P$3:$AI$22,VLOOKUP($T7,СГИ!$N$3:$O$22,2),HLOOKUP(Y$6,СГИ!$P$1:$AI$2,2))),"",INDEX(СГИ!$P$3:$AI$22,VLOOKUP($T7,СГИ!$N$3:$O$22,2),HLOOKUP(Y$6,СГИ!$P$1:$AI$2,2)))=1,CONCATENATE("при измерении ",$T7," ",Y$6," не допускается ! "),"")</f>
      </c>
      <c r="Z7" s="277">
        <f>IF(IF(ISNA(INDEX(СГИ!$P$3:$AI$22,VLOOKUP($T7,СГИ!$N$3:$O$22,2),HLOOKUP(Z$6,СГИ!$P$1:$AI$2,2))),"",INDEX(СГИ!$P$3:$AI$22,VLOOKUP($T7,СГИ!$N$3:$O$22,2),HLOOKUP(Z$6,СГИ!$P$1:$AI$2,2)))=1,CONCATENATE("при измерении ",$T7," ",Z$6," не допускается ! "),"")</f>
      </c>
      <c r="AA7" s="277">
        <f>IF(IF(ISNA(INDEX(СГИ!$P$3:$AI$22,VLOOKUP($T7,СГИ!$N$3:$O$22,2),HLOOKUP(AA$6,СГИ!$P$1:$AI$2,2))),"",INDEX(СГИ!$P$3:$AI$22,VLOOKUP($T7,СГИ!$N$3:$O$22,2),HLOOKUP(AA$6,СГИ!$P$1:$AI$2,2)))=1,CONCATENATE("при измерении ",$T7," ",AA$6," не допускается ! "),"")</f>
      </c>
      <c r="AB7" s="277">
        <f>IF(IF(ISNA(INDEX(СГИ!$P$3:$AI$22,VLOOKUP($T7,СГИ!$N$3:$O$22,2),HLOOKUP(AB$6,СГИ!$P$1:$AI$2,2))),"",INDEX(СГИ!$P$3:$AI$22,VLOOKUP($T7,СГИ!$N$3:$O$22,2),HLOOKUP(AB$6,СГИ!$P$1:$AI$2,2)))=1,CONCATENATE("при измерении ",$T7," ",AB$6," не допускается ! "),"")</f>
      </c>
      <c r="AC7" s="277">
        <f>IF(IF(ISNA(INDEX(СГИ!$P$3:$AI$22,VLOOKUP($T7,СГИ!$N$3:$O$22,2),HLOOKUP(AC$6,СГИ!$P$1:$AI$2,2))),"",INDEX(СГИ!$P$3:$AI$22,VLOOKUP($T7,СГИ!$N$3:$O$22,2),HLOOKUP(AC$6,СГИ!$P$1:$AI$2,2)))=1,CONCATENATE("при измерении ",$T7," ",AC$6," не допускается ! "),"")</f>
      </c>
      <c r="AD7" s="277">
        <f>IF(IF(ISNA(INDEX(СГИ!$P$3:$AI$22,VLOOKUP($T7,СГИ!$N$3:$O$22,2),HLOOKUP(AD$6,СГИ!$P$1:$AI$2,2))),"",INDEX(СГИ!$P$3:$AI$22,VLOOKUP($T7,СГИ!$N$3:$O$22,2),HLOOKUP(AD$6,СГИ!$P$1:$AI$2,2)))=1,CONCATENATE("при измерении ",$T7," ",AD$6," не допускается ! "),"")</f>
      </c>
      <c r="AE7" s="277">
        <f>IF(IF(ISNA(INDEX(СГИ!$P$3:$AI$22,VLOOKUP($T7,СГИ!$N$3:$O$22,2),HLOOKUP(AE$6,СГИ!$P$1:$AI$2,2))),"",INDEX(СГИ!$P$3:$AI$22,VLOOKUP($T7,СГИ!$N$3:$O$22,2),HLOOKUP(AE$6,СГИ!$P$1:$AI$2,2)))=1,CONCATENATE("при измерении ",$T7," ",AE$6," не допускается ! "),"")</f>
      </c>
      <c r="AF7" s="277">
        <f>IF(IF(ISNA(INDEX(СГИ!$P$3:$AI$22,VLOOKUP($T7,СГИ!$N$3:$O$22,2),HLOOKUP(AF$6,СГИ!$P$1:$AI$2,2))),"",INDEX(СГИ!$P$3:$AI$22,VLOOKUP($T7,СГИ!$N$3:$O$22,2),HLOOKUP(AF$6,СГИ!$P$1:$AI$2,2)))=1,CONCATENATE("при измерении ",$T7," ",AF$6," не допускается ! "),"")</f>
      </c>
      <c r="AG7" s="277">
        <f>IF(IF(ISNA(INDEX(СГИ!$P$3:$AI$22,VLOOKUP($T7,СГИ!$N$3:$O$22,2),HLOOKUP(AG$6,СГИ!$P$1:$AI$2,2))),"",INDEX(СГИ!$P$3:$AI$22,VLOOKUP($T7,СГИ!$N$3:$O$22,2),HLOOKUP(AG$6,СГИ!$P$1:$AI$2,2)))=1,CONCATENATE("при измерении ",$T7," ",AG$6," не допускается ! "),"")</f>
      </c>
      <c r="AH7" s="277">
        <f>IF(IF(ISNA(INDEX(СГИ!$P$3:$AI$22,VLOOKUP($T7,СГИ!$N$3:$O$22,2),HLOOKUP(AH$6,СГИ!$P$1:$AI$2,2))),"",INDEX(СГИ!$P$3:$AI$22,VLOOKUP($T7,СГИ!$N$3:$O$22,2),HLOOKUP(AH$6,СГИ!$P$1:$AI$2,2)))=1,CONCATENATE("при измерении ",$T7," ",AH$6," не допускается ! "),"")</f>
      </c>
      <c r="AI7" s="277">
        <f>IF(IF(ISNA(INDEX(СГИ!$P$3:$AI$22,VLOOKUP($T7,СГИ!$N$3:$O$22,2),HLOOKUP(AI$6,СГИ!$P$1:$AI$2,2))),"",INDEX(СГИ!$P$3:$AI$22,VLOOKUP($T7,СГИ!$N$3:$O$22,2),HLOOKUP(AI$6,СГИ!$P$1:$AI$2,2)))=1,CONCATENATE("при измерении ",$T7," ",AI$6," не допускается ! "),"")</f>
      </c>
      <c r="AJ7" s="277">
        <f>IF(IF(ISNA(INDEX(СГИ!$P$3:$AI$22,VLOOKUP($T7,СГИ!$N$3:$O$22,2),HLOOKUP(AJ$6,СГИ!$P$1:$AI$2,2))),"",INDEX(СГИ!$P$3:$AI$22,VLOOKUP($T7,СГИ!$N$3:$O$22,2),HLOOKUP(AJ$6,СГИ!$P$1:$AI$2,2)))=1,CONCATENATE("при измерении ",$T7," ",AJ$6," не допускается ! "),"")</f>
      </c>
      <c r="AK7" s="277">
        <f>IF(IF(ISNA(INDEX(СГИ!$P$3:$AI$22,VLOOKUP($T7,СГИ!$N$3:$O$22,2),HLOOKUP(AK$6,СГИ!$P$1:$AI$2,2))),"",INDEX(СГИ!$P$3:$AI$22,VLOOKUP($T7,СГИ!$N$3:$O$22,2),HLOOKUP(AK$6,СГИ!$P$1:$AI$2,2)))=1,CONCATENATE("при измерении ",$T7," ",AK$6," не допускается ! "),"")</f>
      </c>
      <c r="AL7" s="277">
        <f>IF(IF(ISNA(INDEX(СГИ!$P$3:$AI$22,VLOOKUP($T7,СГИ!$N$3:$O$22,2),HLOOKUP(AL$6,СГИ!$P$1:$AI$2,2))),"",INDEX(СГИ!$P$3:$AI$22,VLOOKUP($T7,СГИ!$N$3:$O$22,2),HLOOKUP(AL$6,СГИ!$P$1:$AI$2,2)))=1,CONCATENATE("при измерении ",$T7," ",AL$6," не допускается ! "),"")</f>
      </c>
      <c r="AM7">
        <f>CONCATENATE(U7,V7,W7,X7,Y7,Z7,AA7,AB7,AC7,AD7,AE7,AF7,AG7,AH7,AI7,AJ7,AK7,AL7)</f>
      </c>
    </row>
    <row r="8" spans="2:39" ht="21" customHeight="1">
      <c r="B8" s="278" t="s">
        <v>377</v>
      </c>
      <c r="C8" s="278" t="s">
        <v>136</v>
      </c>
      <c r="D8" s="279" t="s">
        <v>378</v>
      </c>
      <c r="E8" s="280"/>
      <c r="F8" s="280"/>
      <c r="G8" s="280"/>
      <c r="H8" s="267" t="s">
        <v>375</v>
      </c>
      <c r="J8" s="851"/>
      <c r="K8" s="852" t="str">
        <f>IF(SUM(O10:O12)&gt;MAX(O10:O12),"(каналы углеводородов неселективны)",P27)</f>
        <v>(введите необходимые данные)</v>
      </c>
      <c r="L8" s="282">
        <f>IF(AND(E8&gt;0,SUM(E$7:E$24)&lt;17),IF(OR(F8=1,F8=2,F8=3),IF(AND(L$25&gt;1,E$27=1),1,F8),IF(AND(F8="",L$25&gt;1,E$27=1),1,VLOOKUP(D8,СГИ!$A$8:$G$27,7,TRUE))),"")</f>
      </c>
      <c r="M8" s="282">
        <f>IF(OR(E8&gt;0,B9*O9&gt;0,B10*O10&gt;0,B11*O11&gt;0,B12*O12&gt;0),$D8,"")</f>
      </c>
      <c r="N8" s="283">
        <f aca="true" t="shared" si="1" ref="N8:N24">IF(AND($O8&gt;1,$O8&lt;17),CONCATENATE("-",$O8,$M8),IF($O8=1,CONCATENATE("-",$M8),""))</f>
      </c>
      <c r="O8" s="284">
        <f>IF(M8="",0,E8+IF(AND(OR(B9=1,B9=0),OR(B10=1,B10=0),OR(B11=1,B11=0),OR(B12=1,B12=0)),SUMPRODUCT(B9:B12,E9:E12),0))</f>
        <v>0</v>
      </c>
      <c r="P8" s="285">
        <f aca="true" t="shared" si="2" ref="P8:P24">IF(AND(E$25=1,NOT(E$26=1)),E8,G8)</f>
        <v>0</v>
      </c>
      <c r="Q8" s="273">
        <f>IF(SUM($E$7:$E$24)&gt;8,IF(OR(D8="NO2",D8="HCl"),"--",VLOOKUP(D8,СГИ!$A$8:$G$27,4,TRUE)+VLOOKUP(D8,СГИ!$A$8:$G$27,2,TRUE)),VLOOKUP(D8,СГИ!$A$8:$G$27,4,TRUE))</f>
        <v>8060</v>
      </c>
      <c r="R8" s="274">
        <f>IF(O8&gt;0,VLOOKUP(S8,СГИ!$A$8:$G$27,6,TRUE),"")</f>
      </c>
      <c r="S8" s="274">
        <f t="shared" si="0"/>
      </c>
      <c r="T8" s="276">
        <f>IF(S8="","",S8)</f>
      </c>
      <c r="U8" s="277">
        <f>IF(IF(ISNA(INDEX(СГИ!$P$3:$AI$22,VLOOKUP($T8,СГИ!$N$3:$O$22,2),HLOOKUP(U$6,СГИ!$P$1:$AI$2,2))),"",INDEX(СГИ!$P$3:$AI$22,VLOOKUP($T8,СГИ!$N$3:$O$22,2),HLOOKUP(U$6,СГИ!$P$1:$AI$2,2)))=1,CONCATENATE("при измерении ",$T8," ",U$6," не допускается ! "),"")</f>
      </c>
      <c r="V8" s="277">
        <f>IF(IF(ISNA(INDEX(СГИ!$P$3:$AI$22,VLOOKUP($T8,СГИ!$N$3:$O$22,2),HLOOKUP(V$6,СГИ!$P$1:$AI$2,2))),"",INDEX(СГИ!$P$3:$AI$22,VLOOKUP($T8,СГИ!$N$3:$O$22,2),HLOOKUP(V$6,СГИ!$P$1:$AI$2,2)))=1,CONCATENATE("при измерении ",$T8," ",V$6," не допускается ! "),"")</f>
      </c>
      <c r="W8" s="277">
        <f>IF(IF(ISNA(INDEX(СГИ!$P$3:$AI$22,VLOOKUP($T8,СГИ!$N$3:$O$22,2),HLOOKUP(W$6,СГИ!$P$1:$AI$2,2))),"",INDEX(СГИ!$P$3:$AI$22,VLOOKUP($T8,СГИ!$N$3:$O$22,2),HLOOKUP(W$6,СГИ!$P$1:$AI$2,2)))=1,CONCATENATE("при измерении ",$T8," ",W$6," не допускается ! "),"")</f>
      </c>
      <c r="X8" s="277">
        <f>IF(IF(ISNA(INDEX(СГИ!$P$3:$AI$22,VLOOKUP($T8,СГИ!$N$3:$O$22,2),HLOOKUP(X$6,СГИ!$P$1:$AI$2,2))),"",INDEX(СГИ!$P$3:$AI$22,VLOOKUP($T8,СГИ!$N$3:$O$22,2),HLOOKUP(X$6,СГИ!$P$1:$AI$2,2)))=1,CONCATENATE("при измерении ",$T8," ",X$6," не допускается ! "),"")</f>
      </c>
      <c r="Y8" s="277">
        <f>IF(IF(ISNA(INDEX(СГИ!$P$3:$AI$22,VLOOKUP($T8,СГИ!$N$3:$O$22,2),HLOOKUP(Y$6,СГИ!$P$1:$AI$2,2))),"",INDEX(СГИ!$P$3:$AI$22,VLOOKUP($T8,СГИ!$N$3:$O$22,2),HLOOKUP(Y$6,СГИ!$P$1:$AI$2,2)))=1,CONCATENATE("при измерении ",$T8," ",Y$6," не допускается ! "),"")</f>
      </c>
      <c r="Z8" s="277">
        <f>IF(IF(ISNA(INDEX(СГИ!$P$3:$AI$22,VLOOKUP($T8,СГИ!$N$3:$O$22,2),HLOOKUP(Z$6,СГИ!$P$1:$AI$2,2))),"",INDEX(СГИ!$P$3:$AI$22,VLOOKUP($T8,СГИ!$N$3:$O$22,2),HLOOKUP(Z$6,СГИ!$P$1:$AI$2,2)))=1,CONCATENATE("при измерении ",$T8," ",Z$6," не допускается ! "),"")</f>
      </c>
      <c r="AA8" s="277">
        <f>IF(IF(ISNA(INDEX(СГИ!$P$3:$AI$22,VLOOKUP($T8,СГИ!$N$3:$O$22,2),HLOOKUP(AA$6,СГИ!$P$1:$AI$2,2))),"",INDEX(СГИ!$P$3:$AI$22,VLOOKUP($T8,СГИ!$N$3:$O$22,2),HLOOKUP(AA$6,СГИ!$P$1:$AI$2,2)))=1,CONCATENATE("при измерении ",$T8," ",AA$6," не допускается ! "),"")</f>
      </c>
      <c r="AB8" s="277">
        <f>IF(IF(ISNA(INDEX(СГИ!$P$3:$AI$22,VLOOKUP($T8,СГИ!$N$3:$O$22,2),HLOOKUP(AB$6,СГИ!$P$1:$AI$2,2))),"",INDEX(СГИ!$P$3:$AI$22,VLOOKUP($T8,СГИ!$N$3:$O$22,2),HLOOKUP(AB$6,СГИ!$P$1:$AI$2,2)))=1,CONCATENATE("при измерении ",$T8," ",AB$6," не допускается ! "),"")</f>
      </c>
      <c r="AC8" s="277">
        <f>IF(IF(ISNA(INDEX(СГИ!$P$3:$AI$22,VLOOKUP($T8,СГИ!$N$3:$O$22,2),HLOOKUP(AC$6,СГИ!$P$1:$AI$2,2))),"",INDEX(СГИ!$P$3:$AI$22,VLOOKUP($T8,СГИ!$N$3:$O$22,2),HLOOKUP(AC$6,СГИ!$P$1:$AI$2,2)))=1,CONCATENATE("при измерении ",$T8," ",AC$6," не допускается ! "),"")</f>
      </c>
      <c r="AD8" s="277">
        <f>IF(IF(ISNA(INDEX(СГИ!$P$3:$AI$22,VLOOKUP($T8,СГИ!$N$3:$O$22,2),HLOOKUP(AD$6,СГИ!$P$1:$AI$2,2))),"",INDEX(СГИ!$P$3:$AI$22,VLOOKUP($T8,СГИ!$N$3:$O$22,2),HLOOKUP(AD$6,СГИ!$P$1:$AI$2,2)))=1,CONCATENATE("при измерении ",$T8," ",AD$6," не допускается ! "),"")</f>
      </c>
      <c r="AE8" s="277">
        <f>IF(IF(ISNA(INDEX(СГИ!$P$3:$AI$22,VLOOKUP($T8,СГИ!$N$3:$O$22,2),HLOOKUP(AE$6,СГИ!$P$1:$AI$2,2))),"",INDEX(СГИ!$P$3:$AI$22,VLOOKUP($T8,СГИ!$N$3:$O$22,2),HLOOKUP(AE$6,СГИ!$P$1:$AI$2,2)))=1,CONCATENATE("при измерении ",$T8," ",AE$6," не допускается ! "),"")</f>
      </c>
      <c r="AF8" s="277">
        <f>IF(IF(ISNA(INDEX(СГИ!$P$3:$AI$22,VLOOKUP($T8,СГИ!$N$3:$O$22,2),HLOOKUP(AF$6,СГИ!$P$1:$AI$2,2))),"",INDEX(СГИ!$P$3:$AI$22,VLOOKUP($T8,СГИ!$N$3:$O$22,2),HLOOKUP(AF$6,СГИ!$P$1:$AI$2,2)))=1,CONCATENATE("при измерении ",$T8," ",AF$6," не допускается ! "),"")</f>
      </c>
      <c r="AG8" s="277">
        <f>IF(IF(ISNA(INDEX(СГИ!$P$3:$AI$22,VLOOKUP($T8,СГИ!$N$3:$O$22,2),HLOOKUP(AG$6,СГИ!$P$1:$AI$2,2))),"",INDEX(СГИ!$P$3:$AI$22,VLOOKUP($T8,СГИ!$N$3:$O$22,2),HLOOKUP(AG$6,СГИ!$P$1:$AI$2,2)))=1,CONCATENATE("при измерении ",$T8," ",AG$6," не допускается ! "),"")</f>
      </c>
      <c r="AH8" s="277">
        <f>IF(IF(ISNA(INDEX(СГИ!$P$3:$AI$22,VLOOKUP($T8,СГИ!$N$3:$O$22,2),HLOOKUP(AH$6,СГИ!$P$1:$AI$2,2))),"",INDEX(СГИ!$P$3:$AI$22,VLOOKUP($T8,СГИ!$N$3:$O$22,2),HLOOKUP(AH$6,СГИ!$P$1:$AI$2,2)))=1,CONCATENATE("при измерении ",$T8," ",AH$6," не допускается ! "),"")</f>
      </c>
      <c r="AI8" s="277">
        <f>IF(IF(ISNA(INDEX(СГИ!$P$3:$AI$22,VLOOKUP($T8,СГИ!$N$3:$O$22,2),HLOOKUP(AI$6,СГИ!$P$1:$AI$2,2))),"",INDEX(СГИ!$P$3:$AI$22,VLOOKUP($T8,СГИ!$N$3:$O$22,2),HLOOKUP(AI$6,СГИ!$P$1:$AI$2,2)))=1,CONCATENATE("при измерении ",$T8," ",AI$6," не допускается ! "),"")</f>
      </c>
      <c r="AJ8" s="277">
        <f>IF(IF(ISNA(INDEX(СГИ!$P$3:$AI$22,VLOOKUP($T8,СГИ!$N$3:$O$22,2),HLOOKUP(AJ$6,СГИ!$P$1:$AI$2,2))),"",INDEX(СГИ!$P$3:$AI$22,VLOOKUP($T8,СГИ!$N$3:$O$22,2),HLOOKUP(AJ$6,СГИ!$P$1:$AI$2,2)))=1,CONCATENATE("при измерении ",$T8," ",AJ$6," не допускается ! "),"")</f>
      </c>
      <c r="AK8" s="277">
        <f>IF(IF(ISNA(INDEX(СГИ!$P$3:$AI$22,VLOOKUP($T8,СГИ!$N$3:$O$22,2),HLOOKUP(AK$6,СГИ!$P$1:$AI$2,2))),"",INDEX(СГИ!$P$3:$AI$22,VLOOKUP($T8,СГИ!$N$3:$O$22,2),HLOOKUP(AK$6,СГИ!$P$1:$AI$2,2)))=1,CONCATENATE("при измерении ",$T8," ",AK$6," не допускается ! "),"")</f>
      </c>
      <c r="AL8" s="277">
        <f>IF(IF(ISNA(INDEX(СГИ!$P$3:$AI$22,VLOOKUP($T8,СГИ!$N$3:$O$22,2),HLOOKUP(AL$6,СГИ!$P$1:$AI$2,2))),"",INDEX(СГИ!$P$3:$AI$22,VLOOKUP($T8,СГИ!$N$3:$O$22,2),HLOOKUP(AL$6,СГИ!$P$1:$AI$2,2)))=1,CONCATENATE("при измерении ",$T8," ",AL$6," не допускается ! "),"")</f>
      </c>
      <c r="AM8">
        <f aca="true" t="shared" si="3" ref="AM8:AM24">CONCATENATE(U8,V8,W8,X8,Y8,Z8,AA8,AB8,AC8,AD8,AE8,AF8,AG8,AH8,AI8,AJ8,AK8,AL8)</f>
      </c>
    </row>
    <row r="9" spans="1:39" ht="33.75" customHeight="1">
      <c r="A9" s="286" t="s">
        <v>379</v>
      </c>
      <c r="B9" s="287"/>
      <c r="C9" s="288"/>
      <c r="D9" s="289" t="s">
        <v>380</v>
      </c>
      <c r="E9" s="280"/>
      <c r="F9" s="280"/>
      <c r="G9" s="280"/>
      <c r="H9" s="267" t="s">
        <v>381</v>
      </c>
      <c r="I9" s="290" t="s">
        <v>382</v>
      </c>
      <c r="J9" s="853" t="s">
        <v>383</v>
      </c>
      <c r="K9" s="854" t="str">
        <f>IF(AND(SUMPRODUCT(O7:O24,P7:P24)&gt;0,NOT(E26=1),NOT(E27=1),NOT(C25=1),NOT(K7="превышение числа каналов"),P8=0),IF(AND(O9&gt;P9-1,O10&gt;P10-1,O11&gt;P11-1,O12&gt;P12-1,O13&gt;P13-1),IF(E25=1,"взрывозащита предусмотрена","взрывозащита выбранных каналов предусмотрена"),"проверьте ввод данных"),"взрывозащита НЕ предусмотрена")</f>
        <v>взрывозащита НЕ предусмотрена</v>
      </c>
      <c r="L9" s="282">
        <f>IF(AND(E9&gt;0,SUM(E$7:E$24)&lt;17),IF(OR(F9=1,F9=2,F9=3),IF(AND(L$25&gt;1,E$27=1),1,F9),IF(AND(F9="",L$25&gt;1,E$27=1),1,VLOOKUP(D9,СГИ!$A$8:$G$27,7,TRUE))),"")</f>
      </c>
      <c r="M9" s="291">
        <f>IF(OR(E9&gt;0,C10*O10&gt;0,C11*O11&gt;0,C12*O12&gt;0),$D9,"")</f>
      </c>
      <c r="N9" s="283">
        <f>IF(AND($O9&gt;1,$O9&lt;17),CONCATENATE("-",$O9,"CO"),IF($O9=1,CONCATENATE("-","CO"),""))</f>
      </c>
      <c r="O9" s="284">
        <f>IF(M9="",0,E9+IF(AND(OR(C10=1,C10=0),OR(C11=1,C11=0),OR(C12=1,C12=0)),SUMPRODUCT(C10:C12,E10:E12),0))</f>
        <v>0</v>
      </c>
      <c r="P9" s="285">
        <f t="shared" si="2"/>
        <v>0</v>
      </c>
      <c r="Q9" s="273">
        <f>IF(SUM($E$7:$E$24)&gt;8,IF(OR(D9="NO2",D9="HCl"),"--",VLOOKUP(D9,СГИ!$A$8:$G$27,4,TRUE)+VLOOKUP(D9,СГИ!$A$8:$G$27,2,TRUE)),VLOOKUP(D9,СГИ!$A$8:$G$27,4,TRUE))</f>
        <v>8060</v>
      </c>
      <c r="R9" s="274">
        <f>IF(O9&gt;0,VLOOKUP(S9,СГИ!$A$8:$G$27,6,TRUE),"")</f>
      </c>
      <c r="S9" s="274">
        <f t="shared" si="0"/>
      </c>
      <c r="T9" s="276">
        <f>IF(S9="","","CO горюч.")</f>
      </c>
      <c r="U9" s="277">
        <f>IF(IF(ISNA(INDEX(СГИ!$P$3:$AI$22,VLOOKUP($T9,СГИ!$N$3:$O$22,2),HLOOKUP(U$6,СГИ!$P$1:$AI$2,2))),"",INDEX(СГИ!$P$3:$AI$22,VLOOKUP($T9,СГИ!$N$3:$O$22,2),HLOOKUP(U$6,СГИ!$P$1:$AI$2,2)))=1,CONCATENATE("при измерении ",$T9," ",U$6," не допускается ! "),"")</f>
      </c>
      <c r="V9" s="277">
        <f>IF(IF(ISNA(INDEX(СГИ!$P$3:$AI$22,VLOOKUP($T9,СГИ!$N$3:$O$22,2),HLOOKUP(V$6,СГИ!$P$1:$AI$2,2))),"",INDEX(СГИ!$P$3:$AI$22,VLOOKUP($T9,СГИ!$N$3:$O$22,2),HLOOKUP(V$6,СГИ!$P$1:$AI$2,2)))=1,CONCATENATE("при измерении ",$T9," ",V$6," не допускается ! "),"")</f>
      </c>
      <c r="W9" s="277">
        <f>IF(IF(ISNA(INDEX(СГИ!$P$3:$AI$22,VLOOKUP($T9,СГИ!$N$3:$O$22,2),HLOOKUP(W$6,СГИ!$P$1:$AI$2,2))),"",INDEX(СГИ!$P$3:$AI$22,VLOOKUP($T9,СГИ!$N$3:$O$22,2),HLOOKUP(W$6,СГИ!$P$1:$AI$2,2)))=1,CONCATENATE("при измерении ",$T9," ",W$6," не допускается ! "),"")</f>
      </c>
      <c r="X9" s="277">
        <f>IF(IF(ISNA(INDEX(СГИ!$P$3:$AI$22,VLOOKUP($T9,СГИ!$N$3:$O$22,2),HLOOKUP(X$6,СГИ!$P$1:$AI$2,2))),"",INDEX(СГИ!$P$3:$AI$22,VLOOKUP($T9,СГИ!$N$3:$O$22,2),HLOOKUP(X$6,СГИ!$P$1:$AI$2,2)))=1,CONCATENATE("при измерении ",$T9," ",X$6," не допускается ! "),"")</f>
      </c>
      <c r="Y9" s="277">
        <f>IF(IF(ISNA(INDEX(СГИ!$P$3:$AI$22,VLOOKUP($T9,СГИ!$N$3:$O$22,2),HLOOKUP(Y$6,СГИ!$P$1:$AI$2,2))),"",INDEX(СГИ!$P$3:$AI$22,VLOOKUP($T9,СГИ!$N$3:$O$22,2),HLOOKUP(Y$6,СГИ!$P$1:$AI$2,2)))=1,CONCATENATE("при измерении ",$T9," ",Y$6," не допускается ! "),"")</f>
      </c>
      <c r="Z9" s="277">
        <f>IF(IF(ISNA(INDEX(СГИ!$P$3:$AI$22,VLOOKUP($T9,СГИ!$N$3:$O$22,2),HLOOKUP(Z$6,СГИ!$P$1:$AI$2,2))),"",INDEX(СГИ!$P$3:$AI$22,VLOOKUP($T9,СГИ!$N$3:$O$22,2),HLOOKUP(Z$6,СГИ!$P$1:$AI$2,2)))=1,CONCATENATE("при измерении ",$T9," ",Z$6," не допускается ! "),"")</f>
      </c>
      <c r="AA9" s="277">
        <f>IF(IF(ISNA(INDEX(СГИ!$P$3:$AI$22,VLOOKUP($T9,СГИ!$N$3:$O$22,2),HLOOKUP(AA$6,СГИ!$P$1:$AI$2,2))),"",INDEX(СГИ!$P$3:$AI$22,VLOOKUP($T9,СГИ!$N$3:$O$22,2),HLOOKUP(AA$6,СГИ!$P$1:$AI$2,2)))=1,CONCATENATE("при измерении ",$T9," ",AA$6," не допускается ! "),"")</f>
      </c>
      <c r="AB9" s="277">
        <f>IF(IF(ISNA(INDEX(СГИ!$P$3:$AI$22,VLOOKUP($T9,СГИ!$N$3:$O$22,2),HLOOKUP(AB$6,СГИ!$P$1:$AI$2,2))),"",INDEX(СГИ!$P$3:$AI$22,VLOOKUP($T9,СГИ!$N$3:$O$22,2),HLOOKUP(AB$6,СГИ!$P$1:$AI$2,2)))=1,CONCATENATE("при измерении ",$T9," ",AB$6," не допускается ! "),"")</f>
      </c>
      <c r="AC9" s="277">
        <f>IF(IF(ISNA(INDEX(СГИ!$P$3:$AI$22,VLOOKUP($T9,СГИ!$N$3:$O$22,2),HLOOKUP(AC$6,СГИ!$P$1:$AI$2,2))),"",INDEX(СГИ!$P$3:$AI$22,VLOOKUP($T9,СГИ!$N$3:$O$22,2),HLOOKUP(AC$6,СГИ!$P$1:$AI$2,2)))=1,CONCATENATE("при измерении ",$T9," ",AC$6," не допускается ! "),"")</f>
      </c>
      <c r="AD9" s="277">
        <f>IF(IF(ISNA(INDEX(СГИ!$P$3:$AI$22,VLOOKUP($T9,СГИ!$N$3:$O$22,2),HLOOKUP(AD$6,СГИ!$P$1:$AI$2,2))),"",INDEX(СГИ!$P$3:$AI$22,VLOOKUP($T9,СГИ!$N$3:$O$22,2),HLOOKUP(AD$6,СГИ!$P$1:$AI$2,2)))=1,CONCATENATE("при измерении ",$T9," ",AD$6," не допускается ! "),"")</f>
      </c>
      <c r="AE9" s="277">
        <f>IF(IF(ISNA(INDEX(СГИ!$P$3:$AI$22,VLOOKUP($T9,СГИ!$N$3:$O$22,2),HLOOKUP(AE$6,СГИ!$P$1:$AI$2,2))),"",INDEX(СГИ!$P$3:$AI$22,VLOOKUP($T9,СГИ!$N$3:$O$22,2),HLOOKUP(AE$6,СГИ!$P$1:$AI$2,2)))=1,CONCATENATE("при измерении ",$T9," ",AE$6," не допускается ! "),"")</f>
      </c>
      <c r="AF9" s="277">
        <f>IF(IF(ISNA(INDEX(СГИ!$P$3:$AI$22,VLOOKUP($T9,СГИ!$N$3:$O$22,2),HLOOKUP(AF$6,СГИ!$P$1:$AI$2,2))),"",INDEX(СГИ!$P$3:$AI$22,VLOOKUP($T9,СГИ!$N$3:$O$22,2),HLOOKUP(AF$6,СГИ!$P$1:$AI$2,2)))=1,CONCATENATE("при измерении ",$T9," ",AF$6," не допускается ! "),"")</f>
      </c>
      <c r="AG9" s="277">
        <f>IF(IF(ISNA(INDEX(СГИ!$P$3:$AI$22,VLOOKUP($T9,СГИ!$N$3:$O$22,2),HLOOKUP(AG$6,СГИ!$P$1:$AI$2,2))),"",INDEX(СГИ!$P$3:$AI$22,VLOOKUP($T9,СГИ!$N$3:$O$22,2),HLOOKUP(AG$6,СГИ!$P$1:$AI$2,2)))=1,CONCATENATE("при измерении ",$T9," ",AG$6," не допускается ! "),"")</f>
      </c>
      <c r="AH9" s="277">
        <f>IF(IF(ISNA(INDEX(СГИ!$P$3:$AI$22,VLOOKUP($T9,СГИ!$N$3:$O$22,2),HLOOKUP(AH$6,СГИ!$P$1:$AI$2,2))),"",INDEX(СГИ!$P$3:$AI$22,VLOOKUP($T9,СГИ!$N$3:$O$22,2),HLOOKUP(AH$6,СГИ!$P$1:$AI$2,2)))=1,CONCATENATE("при измерении ",$T9," ",AH$6," не допускается ! "),"")</f>
      </c>
      <c r="AI9" s="277">
        <f>IF(IF(ISNA(INDEX(СГИ!$P$3:$AI$22,VLOOKUP($T9,СГИ!$N$3:$O$22,2),HLOOKUP(AI$6,СГИ!$P$1:$AI$2,2))),"",INDEX(СГИ!$P$3:$AI$22,VLOOKUP($T9,СГИ!$N$3:$O$22,2),HLOOKUP(AI$6,СГИ!$P$1:$AI$2,2)))=1,CONCATENATE("при измерении ",$T9," ",AI$6," не допускается ! "),"")</f>
      </c>
      <c r="AJ9" s="277">
        <f>IF(IF(ISNA(INDEX(СГИ!$P$3:$AI$22,VLOOKUP($T9,СГИ!$N$3:$O$22,2),HLOOKUP(AJ$6,СГИ!$P$1:$AI$2,2))),"",INDEX(СГИ!$P$3:$AI$22,VLOOKUP($T9,СГИ!$N$3:$O$22,2),HLOOKUP(AJ$6,СГИ!$P$1:$AI$2,2)))=1,CONCATENATE("при измерении ",$T9," ",AJ$6," не допускается ! "),"")</f>
      </c>
      <c r="AK9" s="277">
        <f>IF(IF(ISNA(INDEX(СГИ!$P$3:$AI$22,VLOOKUP($T9,СГИ!$N$3:$O$22,2),HLOOKUP(AK$6,СГИ!$P$1:$AI$2,2))),"",INDEX(СГИ!$P$3:$AI$22,VLOOKUP($T9,СГИ!$N$3:$O$22,2),HLOOKUP(AK$6,СГИ!$P$1:$AI$2,2)))=1,CONCATENATE("при измерении ",$T9," ",AK$6," не допускается ! "),"")</f>
      </c>
      <c r="AL9" s="277">
        <f>IF(IF(ISNA(INDEX(СГИ!$P$3:$AI$22,VLOOKUP($T9,СГИ!$N$3:$O$22,2),HLOOKUP(AL$6,СГИ!$P$1:$AI$2,2))),"",INDEX(СГИ!$P$3:$AI$22,VLOOKUP($T9,СГИ!$N$3:$O$22,2),HLOOKUP(AL$6,СГИ!$P$1:$AI$2,2)))=1,CONCATENATE("при измерении ",$T9," ",AL$6," не допускается ! "),"")</f>
      </c>
      <c r="AM9">
        <f t="shared" si="3"/>
      </c>
    </row>
    <row r="10" spans="1:39" ht="20.25" customHeight="1">
      <c r="A10" s="286" t="s">
        <v>379</v>
      </c>
      <c r="B10" s="287"/>
      <c r="C10" s="287"/>
      <c r="D10" s="289" t="s">
        <v>384</v>
      </c>
      <c r="E10" s="280"/>
      <c r="F10" s="280"/>
      <c r="G10" s="280"/>
      <c r="H10" s="267" t="s">
        <v>381</v>
      </c>
      <c r="I10" s="290" t="s">
        <v>382</v>
      </c>
      <c r="J10" s="853" t="s">
        <v>385</v>
      </c>
      <c r="K10" s="855" t="str">
        <f>IF(AND(MIN(E7:E24)&gt;-1,MIN(F7:F24)&gt;-1),IF(MAX(F7:F24)&gt;3,"число порогов в канале от 1 до 3",IF(MAX(E7:E24)&gt;0,ROUNDUP((2+SUMPRODUCT(E7:E24,L7:L24))/10,0),"укажите кол.каналов")),"--")</f>
        <v>укажите кол.каналов</v>
      </c>
      <c r="L10" s="282">
        <f>IF(AND(E$25=1,OR(E$13&gt;0,E$24&gt;0)),"",IF(AND(E10&gt;0,SUM(E$7:E$24)&lt;17),IF(OR(F10=1,F10=2,F10=3),IF(AND(L$25&gt;1,E$27=1),1,F10),IF(AND(F10="",L$25&gt;1,E$27=1),1,VLOOKUP(D10,СГИ!$A$8:$G$27,7,TRUE))),""))</f>
      </c>
      <c r="M10" s="282">
        <f>IF(E10&gt;0,D10,"")</f>
      </c>
      <c r="N10" s="283">
        <f>IF(AND($O10&gt;1,$O10&lt;17),CONCATENATE("-",$O10,$M10),IF($O10=1,CONCATENATE("-",$M10),""))</f>
      </c>
      <c r="O10" s="284">
        <f>IF(M10="",0,E10)</f>
        <v>0</v>
      </c>
      <c r="P10" s="285">
        <f t="shared" si="2"/>
        <v>0</v>
      </c>
      <c r="Q10" s="273">
        <f>IF(SUM($E$7:$E$24)&gt;8,IF(OR(D10="NO2",D10="HCl"),"--",VLOOKUP(D10,СГИ!$A$8:$G$27,4,TRUE)+VLOOKUP(D10,СГИ!$A$8:$G$27,2,TRUE)),VLOOKUP(D10,СГИ!$A$8:$G$27,4,TRUE))</f>
        <v>6550</v>
      </c>
      <c r="R10" s="274">
        <f>IF(O10&gt;0,VLOOKUP(S10,СГИ!$A$8:$G$27,6,TRUE),"")</f>
      </c>
      <c r="S10" s="274">
        <f t="shared" si="0"/>
      </c>
      <c r="T10" s="276">
        <f>IF(S10="","",S10)</f>
      </c>
      <c r="U10" s="277">
        <f>IF(IF(ISNA(INDEX(СГИ!$P$3:$AI$22,VLOOKUP($T10,СГИ!$N$3:$O$22,2),HLOOKUP(U$6,СГИ!$P$1:$AI$2,2))),"",INDEX(СГИ!$P$3:$AI$22,VLOOKUP($T10,СГИ!$N$3:$O$22,2),HLOOKUP(U$6,СГИ!$P$1:$AI$2,2)))=1,CONCATENATE("при измерении ",$T10," ",U$6," не допускается ! "),"")</f>
      </c>
      <c r="V10" s="277">
        <f>IF(IF(ISNA(INDEX(СГИ!$P$3:$AI$22,VLOOKUP($T10,СГИ!$N$3:$O$22,2),HLOOKUP(V$6,СГИ!$P$1:$AI$2,2))),"",INDEX(СГИ!$P$3:$AI$22,VLOOKUP($T10,СГИ!$N$3:$O$22,2),HLOOKUP(V$6,СГИ!$P$1:$AI$2,2)))=1,CONCATENATE("при измерении ",$T10," ",V$6," не допускается ! "),"")</f>
      </c>
      <c r="W10" s="277">
        <f>IF(IF(ISNA(INDEX(СГИ!$P$3:$AI$22,VLOOKUP($T10,СГИ!$N$3:$O$22,2),HLOOKUP(W$6,СГИ!$P$1:$AI$2,2))),"",INDEX(СГИ!$P$3:$AI$22,VLOOKUP($T10,СГИ!$N$3:$O$22,2),HLOOKUP(W$6,СГИ!$P$1:$AI$2,2)))=1,CONCATENATE("при измерении ",$T10," ",W$6," не допускается ! "),"")</f>
      </c>
      <c r="X10" s="277">
        <f>IF(IF(ISNA(INDEX(СГИ!$P$3:$AI$22,VLOOKUP($T10,СГИ!$N$3:$O$22,2),HLOOKUP(X$6,СГИ!$P$1:$AI$2,2))),"",INDEX(СГИ!$P$3:$AI$22,VLOOKUP($T10,СГИ!$N$3:$O$22,2),HLOOKUP(X$6,СГИ!$P$1:$AI$2,2)))=1,CONCATENATE("при измерении ",$T10," ",X$6," не допускается ! "),"")</f>
      </c>
      <c r="Y10" s="277">
        <f>IF(IF(ISNA(INDEX(СГИ!$P$3:$AI$22,VLOOKUP($T10,СГИ!$N$3:$O$22,2),HLOOKUP(Y$6,СГИ!$P$1:$AI$2,2))),"",INDEX(СГИ!$P$3:$AI$22,VLOOKUP($T10,СГИ!$N$3:$O$22,2),HLOOKUP(Y$6,СГИ!$P$1:$AI$2,2)))=1,CONCATENATE("при измерении ",$T10," ",Y$6," не допускается ! "),"")</f>
      </c>
      <c r="Z10" s="277">
        <f>IF(IF(ISNA(INDEX(СГИ!$P$3:$AI$22,VLOOKUP($T10,СГИ!$N$3:$O$22,2),HLOOKUP(Z$6,СГИ!$P$1:$AI$2,2))),"",INDEX(СГИ!$P$3:$AI$22,VLOOKUP($T10,СГИ!$N$3:$O$22,2),HLOOKUP(Z$6,СГИ!$P$1:$AI$2,2)))=1,CONCATENATE("при измерении ",$T10," ",Z$6," не допускается ! "),"")</f>
      </c>
      <c r="AA10" s="277">
        <f>IF(IF(ISNA(INDEX(СГИ!$P$3:$AI$22,VLOOKUP($T10,СГИ!$N$3:$O$22,2),HLOOKUP(AA$6,СГИ!$P$1:$AI$2,2))),"",INDEX(СГИ!$P$3:$AI$22,VLOOKUP($T10,СГИ!$N$3:$O$22,2),HLOOKUP(AA$6,СГИ!$P$1:$AI$2,2)))=1,CONCATENATE("при измерении ",$T10," ",AA$6," не допускается ! "),"")</f>
      </c>
      <c r="AB10" s="277">
        <f>IF(IF(ISNA(INDEX(СГИ!$P$3:$AI$22,VLOOKUP($T10,СГИ!$N$3:$O$22,2),HLOOKUP(AB$6,СГИ!$P$1:$AI$2,2))),"",INDEX(СГИ!$P$3:$AI$22,VLOOKUP($T10,СГИ!$N$3:$O$22,2),HLOOKUP(AB$6,СГИ!$P$1:$AI$2,2)))=1,CONCATENATE("при измерении ",$T10," ",AB$6," не допускается ! "),"")</f>
      </c>
      <c r="AC10" s="277">
        <f>IF(IF(ISNA(INDEX(СГИ!$P$3:$AI$22,VLOOKUP($T10,СГИ!$N$3:$O$22,2),HLOOKUP(AC$6,СГИ!$P$1:$AI$2,2))),"",INDEX(СГИ!$P$3:$AI$22,VLOOKUP($T10,СГИ!$N$3:$O$22,2),HLOOKUP(AC$6,СГИ!$P$1:$AI$2,2)))=1,CONCATENATE("при измерении ",$T10," ",AC$6," не допускается ! "),"")</f>
      </c>
      <c r="AD10" s="277">
        <f>IF(IF(ISNA(INDEX(СГИ!$P$3:$AI$22,VLOOKUP($T10,СГИ!$N$3:$O$22,2),HLOOKUP(AD$6,СГИ!$P$1:$AI$2,2))),"",INDEX(СГИ!$P$3:$AI$22,VLOOKUP($T10,СГИ!$N$3:$O$22,2),HLOOKUP(AD$6,СГИ!$P$1:$AI$2,2)))=1,CONCATENATE("при измерении ",$T10," ",AD$6," не допускается ! "),"")</f>
      </c>
      <c r="AE10" s="277">
        <f>IF(IF(ISNA(INDEX(СГИ!$P$3:$AI$22,VLOOKUP($T10,СГИ!$N$3:$O$22,2),HLOOKUP(AE$6,СГИ!$P$1:$AI$2,2))),"",INDEX(СГИ!$P$3:$AI$22,VLOOKUP($T10,СГИ!$N$3:$O$22,2),HLOOKUP(AE$6,СГИ!$P$1:$AI$2,2)))=1,CONCATENATE("при измерении ",$T10," ",AE$6," не допускается ! "),"")</f>
      </c>
      <c r="AF10" s="277">
        <f>IF(IF(ISNA(INDEX(СГИ!$P$3:$AI$22,VLOOKUP($T10,СГИ!$N$3:$O$22,2),HLOOKUP(AF$6,СГИ!$P$1:$AI$2,2))),"",INDEX(СГИ!$P$3:$AI$22,VLOOKUP($T10,СГИ!$N$3:$O$22,2),HLOOKUP(AF$6,СГИ!$P$1:$AI$2,2)))=1,CONCATENATE("при измерении ",$T10," ",AF$6," не допускается ! "),"")</f>
      </c>
      <c r="AG10" s="277">
        <f>IF(IF(ISNA(INDEX(СГИ!$P$3:$AI$22,VLOOKUP($T10,СГИ!$N$3:$O$22,2),HLOOKUP(AG$6,СГИ!$P$1:$AI$2,2))),"",INDEX(СГИ!$P$3:$AI$22,VLOOKUP($T10,СГИ!$N$3:$O$22,2),HLOOKUP(AG$6,СГИ!$P$1:$AI$2,2)))=1,CONCATENATE("при измерении ",$T10," ",AG$6," не допускается ! "),"")</f>
      </c>
      <c r="AH10" s="277">
        <f>IF(IF(ISNA(INDEX(СГИ!$P$3:$AI$22,VLOOKUP($T10,СГИ!$N$3:$O$22,2),HLOOKUP(AH$6,СГИ!$P$1:$AI$2,2))),"",INDEX(СГИ!$P$3:$AI$22,VLOOKUP($T10,СГИ!$N$3:$O$22,2),HLOOKUP(AH$6,СГИ!$P$1:$AI$2,2)))=1,CONCATENATE("при измерении ",$T10," ",AH$6," не допускается ! "),"")</f>
      </c>
      <c r="AI10" s="277">
        <f>IF(IF(ISNA(INDEX(СГИ!$P$3:$AI$22,VLOOKUP($T10,СГИ!$N$3:$O$22,2),HLOOKUP(AI$6,СГИ!$P$1:$AI$2,2))),"",INDEX(СГИ!$P$3:$AI$22,VLOOKUP($T10,СГИ!$N$3:$O$22,2),HLOOKUP(AI$6,СГИ!$P$1:$AI$2,2)))=1,CONCATENATE("при измерении ",$T10," ",AI$6," не допускается ! "),"")</f>
      </c>
      <c r="AJ10" s="277">
        <f>IF(IF(ISNA(INDEX(СГИ!$P$3:$AI$22,VLOOKUP($T10,СГИ!$N$3:$O$22,2),HLOOKUP(AJ$6,СГИ!$P$1:$AI$2,2))),"",INDEX(СГИ!$P$3:$AI$22,VLOOKUP($T10,СГИ!$N$3:$O$22,2),HLOOKUP(AJ$6,СГИ!$P$1:$AI$2,2)))=1,CONCATENATE("при измерении ",$T10," ",AJ$6," не допускается ! "),"")</f>
      </c>
      <c r="AK10" s="277">
        <f>IF(IF(ISNA(INDEX(СГИ!$P$3:$AI$22,VLOOKUP($T10,СГИ!$N$3:$O$22,2),HLOOKUP(AK$6,СГИ!$P$1:$AI$2,2))),"",INDEX(СГИ!$P$3:$AI$22,VLOOKUP($T10,СГИ!$N$3:$O$22,2),HLOOKUP(AK$6,СГИ!$P$1:$AI$2,2)))=1,CONCATENATE("при измерении ",$T10," ",AK$6," не допускается ! "),"")</f>
      </c>
      <c r="AL10" s="277">
        <f>IF(IF(ISNA(INDEX(СГИ!$P$3:$AI$22,VLOOKUP($T10,СГИ!$N$3:$O$22,2),HLOOKUP(AL$6,СГИ!$P$1:$AI$2,2))),"",INDEX(СГИ!$P$3:$AI$22,VLOOKUP($T10,СГИ!$N$3:$O$22,2),HLOOKUP(AL$6,СГИ!$P$1:$AI$2,2)))=1,CONCATENATE("при измерении ",$T10," ",AL$6," не допускается ! "),"")</f>
      </c>
      <c r="AM10">
        <f t="shared" si="3"/>
      </c>
    </row>
    <row r="11" spans="1:39" ht="27.75" customHeight="1" thickBot="1">
      <c r="A11" s="286" t="s">
        <v>379</v>
      </c>
      <c r="B11" s="287"/>
      <c r="C11" s="287"/>
      <c r="D11" s="289" t="s">
        <v>386</v>
      </c>
      <c r="E11" s="280"/>
      <c r="F11" s="280"/>
      <c r="G11" s="280"/>
      <c r="H11" s="267" t="s">
        <v>381</v>
      </c>
      <c r="I11" s="290" t="s">
        <v>382</v>
      </c>
      <c r="J11" s="853" t="s">
        <v>387</v>
      </c>
      <c r="K11" s="856" t="str">
        <f>IF(OR(K10="число порогов в канале от 1 до 3",K10="укажите кол.каналов",K10="ошибка при введении кол.порогов",K10="--",K7="ввод неверен",K7="превышение"),"--",K10*СГИ!$C28)</f>
        <v>--</v>
      </c>
      <c r="L11" s="282">
        <f>IF(AND(E$25=1,OR(E$13&gt;0,E$24&gt;0)),"",IF(AND(E11&gt;0,SUM(E$7:E$24)&lt;17),IF(OR(F11=1,F11=2,F11=3),IF(AND(L$25&gt;1,E$27=1),1,F11),IF(AND(F11="",L$25&gt;1,E$27=1),1,VLOOKUP(D11,СГИ!$A$8:$G$27,7,TRUE))),""))</f>
      </c>
      <c r="M11" s="282">
        <f>IF(E11&gt;0,D11,"")</f>
      </c>
      <c r="N11" s="283">
        <f>IF(AND($O11&gt;1,$O11&lt;17),CONCATENATE("-",$O11,$M11),IF($O11=1,CONCATENATE("-",$M11),""))</f>
      </c>
      <c r="O11" s="284">
        <f>IF(M11="",0,E11)</f>
        <v>0</v>
      </c>
      <c r="P11" s="285">
        <f t="shared" si="2"/>
        <v>0</v>
      </c>
      <c r="Q11" s="273">
        <f>IF(SUM($E$7:$E$24)&gt;8,IF(OR(D11="NO2",D11="HCl"),"--",VLOOKUP(D11,СГИ!$A$8:$G$27,4,TRUE)+VLOOKUP(D11,СГИ!$A$8:$G$27,2,TRUE)),VLOOKUP(D11,СГИ!$A$8:$G$27,4,TRUE))</f>
        <v>8060</v>
      </c>
      <c r="R11" s="274">
        <f>IF(O11&gt;0,VLOOKUP(S11,СГИ!$A$8:$G$27,6,TRUE),"")</f>
      </c>
      <c r="S11" s="274">
        <f t="shared" si="0"/>
      </c>
      <c r="T11" s="276">
        <f>IF(S11="","",S11)</f>
      </c>
      <c r="U11" s="277">
        <f>IF(IF(ISNA(INDEX(СГИ!$P$3:$AI$22,VLOOKUP($T11,СГИ!$N$3:$O$22,2),HLOOKUP(U$6,СГИ!$P$1:$AI$2,2))),"",INDEX(СГИ!$P$3:$AI$22,VLOOKUP($T11,СГИ!$N$3:$O$22,2),HLOOKUP(U$6,СГИ!$P$1:$AI$2,2)))=1,CONCATENATE("при измерении ",$T11," ",U$6," не допускается ! "),"")</f>
      </c>
      <c r="V11" s="277">
        <f>IF(IF(ISNA(INDEX(СГИ!$P$3:$AI$22,VLOOKUP($T11,СГИ!$N$3:$O$22,2),HLOOKUP(V$6,СГИ!$P$1:$AI$2,2))),"",INDEX(СГИ!$P$3:$AI$22,VLOOKUP($T11,СГИ!$N$3:$O$22,2),HLOOKUP(V$6,СГИ!$P$1:$AI$2,2)))=1,CONCATENATE("при измерении ",$T11," ",V$6," не допускается ! "),"")</f>
      </c>
      <c r="W11" s="277">
        <f>IF(IF(ISNA(INDEX(СГИ!$P$3:$AI$22,VLOOKUP($T11,СГИ!$N$3:$O$22,2),HLOOKUP(W$6,СГИ!$P$1:$AI$2,2))),"",INDEX(СГИ!$P$3:$AI$22,VLOOKUP($T11,СГИ!$N$3:$O$22,2),HLOOKUP(W$6,СГИ!$P$1:$AI$2,2)))=1,CONCATENATE("при измерении ",$T11," ",W$6," не допускается ! "),"")</f>
      </c>
      <c r="X11" s="277">
        <f>IF(IF(ISNA(INDEX(СГИ!$P$3:$AI$22,VLOOKUP($T11,СГИ!$N$3:$O$22,2),HLOOKUP(X$6,СГИ!$P$1:$AI$2,2))),"",INDEX(СГИ!$P$3:$AI$22,VLOOKUP($T11,СГИ!$N$3:$O$22,2),HLOOKUP(X$6,СГИ!$P$1:$AI$2,2)))=1,CONCATENATE("при измерении ",$T11," ",X$6," не допускается ! "),"")</f>
      </c>
      <c r="Y11" s="277">
        <f>IF(IF(ISNA(INDEX(СГИ!$P$3:$AI$22,VLOOKUP($T11,СГИ!$N$3:$O$22,2),HLOOKUP(Y$6,СГИ!$P$1:$AI$2,2))),"",INDEX(СГИ!$P$3:$AI$22,VLOOKUP($T11,СГИ!$N$3:$O$22,2),HLOOKUP(Y$6,СГИ!$P$1:$AI$2,2)))=1,CONCATENATE("при измерении ",$T11," ",Y$6," не допускается ! "),"")</f>
      </c>
      <c r="Z11" s="277">
        <f>IF(IF(ISNA(INDEX(СГИ!$P$3:$AI$22,VLOOKUP($T11,СГИ!$N$3:$O$22,2),HLOOKUP(Z$6,СГИ!$P$1:$AI$2,2))),"",INDEX(СГИ!$P$3:$AI$22,VLOOKUP($T11,СГИ!$N$3:$O$22,2),HLOOKUP(Z$6,СГИ!$P$1:$AI$2,2)))=1,CONCATENATE("при измерении ",$T11," ",Z$6," не допускается ! "),"")</f>
      </c>
      <c r="AA11" s="277">
        <f>IF(IF(ISNA(INDEX(СГИ!$P$3:$AI$22,VLOOKUP($T11,СГИ!$N$3:$O$22,2),HLOOKUP(AA$6,СГИ!$P$1:$AI$2,2))),"",INDEX(СГИ!$P$3:$AI$22,VLOOKUP($T11,СГИ!$N$3:$O$22,2),HLOOKUP(AA$6,СГИ!$P$1:$AI$2,2)))=1,CONCATENATE("при измерении ",$T11," ",AA$6," не допускается ! "),"")</f>
      </c>
      <c r="AB11" s="277">
        <f>IF(IF(ISNA(INDEX(СГИ!$P$3:$AI$22,VLOOKUP($T11,СГИ!$N$3:$O$22,2),HLOOKUP(AB$6,СГИ!$P$1:$AI$2,2))),"",INDEX(СГИ!$P$3:$AI$22,VLOOKUP($T11,СГИ!$N$3:$O$22,2),HLOOKUP(AB$6,СГИ!$P$1:$AI$2,2)))=1,CONCATENATE("при измерении ",$T11," ",AB$6," не допускается ! "),"")</f>
      </c>
      <c r="AC11" s="277">
        <f>IF(IF(ISNA(INDEX(СГИ!$P$3:$AI$22,VLOOKUP($T11,СГИ!$N$3:$O$22,2),HLOOKUP(AC$6,СГИ!$P$1:$AI$2,2))),"",INDEX(СГИ!$P$3:$AI$22,VLOOKUP($T11,СГИ!$N$3:$O$22,2),HLOOKUP(AC$6,СГИ!$P$1:$AI$2,2)))=1,CONCATENATE("при измерении ",$T11," ",AC$6," не допускается ! "),"")</f>
      </c>
      <c r="AD11" s="277">
        <f>IF(IF(ISNA(INDEX(СГИ!$P$3:$AI$22,VLOOKUP($T11,СГИ!$N$3:$O$22,2),HLOOKUP(AD$6,СГИ!$P$1:$AI$2,2))),"",INDEX(СГИ!$P$3:$AI$22,VLOOKUP($T11,СГИ!$N$3:$O$22,2),HLOOKUP(AD$6,СГИ!$P$1:$AI$2,2)))=1,CONCATENATE("при измерении ",$T11," ",AD$6," не допускается ! "),"")</f>
      </c>
      <c r="AE11" s="277">
        <f>IF(IF(ISNA(INDEX(СГИ!$P$3:$AI$22,VLOOKUP($T11,СГИ!$N$3:$O$22,2),HLOOKUP(AE$6,СГИ!$P$1:$AI$2,2))),"",INDEX(СГИ!$P$3:$AI$22,VLOOKUP($T11,СГИ!$N$3:$O$22,2),HLOOKUP(AE$6,СГИ!$P$1:$AI$2,2)))=1,CONCATENATE("при измерении ",$T11," ",AE$6," не допускается ! "),"")</f>
      </c>
      <c r="AF11" s="277">
        <f>IF(IF(ISNA(INDEX(СГИ!$P$3:$AI$22,VLOOKUP($T11,СГИ!$N$3:$O$22,2),HLOOKUP(AF$6,СГИ!$P$1:$AI$2,2))),"",INDEX(СГИ!$P$3:$AI$22,VLOOKUP($T11,СГИ!$N$3:$O$22,2),HLOOKUP(AF$6,СГИ!$P$1:$AI$2,2)))=1,CONCATENATE("при измерении ",$T11," ",AF$6," не допускается ! "),"")</f>
      </c>
      <c r="AG11" s="277">
        <f>IF(IF(ISNA(INDEX(СГИ!$P$3:$AI$22,VLOOKUP($T11,СГИ!$N$3:$O$22,2),HLOOKUP(AG$6,СГИ!$P$1:$AI$2,2))),"",INDEX(СГИ!$P$3:$AI$22,VLOOKUP($T11,СГИ!$N$3:$O$22,2),HLOOKUP(AG$6,СГИ!$P$1:$AI$2,2)))=1,CONCATENATE("при измерении ",$T11," ",AG$6," не допускается ! "),"")</f>
      </c>
      <c r="AH11" s="277">
        <f>IF(IF(ISNA(INDEX(СГИ!$P$3:$AI$22,VLOOKUP($T11,СГИ!$N$3:$O$22,2),HLOOKUP(AH$6,СГИ!$P$1:$AI$2,2))),"",INDEX(СГИ!$P$3:$AI$22,VLOOKUP($T11,СГИ!$N$3:$O$22,2),HLOOKUP(AH$6,СГИ!$P$1:$AI$2,2)))=1,CONCATENATE("при измерении ",$T11," ",AH$6," не допускается ! "),"")</f>
      </c>
      <c r="AI11" s="277">
        <f>IF(IF(ISNA(INDEX(СГИ!$P$3:$AI$22,VLOOKUP($T11,СГИ!$N$3:$O$22,2),HLOOKUP(AI$6,СГИ!$P$1:$AI$2,2))),"",INDEX(СГИ!$P$3:$AI$22,VLOOKUP($T11,СГИ!$N$3:$O$22,2),HLOOKUP(AI$6,СГИ!$P$1:$AI$2,2)))=1,CONCATENATE("при измерении ",$T11," ",AI$6," не допускается ! "),"")</f>
      </c>
      <c r="AJ11" s="277">
        <f>IF(IF(ISNA(INDEX(СГИ!$P$3:$AI$22,VLOOKUP($T11,СГИ!$N$3:$O$22,2),HLOOKUP(AJ$6,СГИ!$P$1:$AI$2,2))),"",INDEX(СГИ!$P$3:$AI$22,VLOOKUP($T11,СГИ!$N$3:$O$22,2),HLOOKUP(AJ$6,СГИ!$P$1:$AI$2,2)))=1,CONCATENATE("при измерении ",$T11," ",AJ$6," не допускается ! "),"")</f>
      </c>
      <c r="AK11" s="277">
        <f>IF(IF(ISNA(INDEX(СГИ!$P$3:$AI$22,VLOOKUP($T11,СГИ!$N$3:$O$22,2),HLOOKUP(AK$6,СГИ!$P$1:$AI$2,2))),"",INDEX(СГИ!$P$3:$AI$22,VLOOKUP($T11,СГИ!$N$3:$O$22,2),HLOOKUP(AK$6,СГИ!$P$1:$AI$2,2)))=1,CONCATENATE("при измерении ",$T11," ",AK$6," не допускается ! "),"")</f>
      </c>
      <c r="AL11" s="277">
        <f>IF(IF(ISNA(INDEX(СГИ!$P$3:$AI$22,VLOOKUP($T11,СГИ!$N$3:$O$22,2),HLOOKUP(AL$6,СГИ!$P$1:$AI$2,2))),"",INDEX(СГИ!$P$3:$AI$22,VLOOKUP($T11,СГИ!$N$3:$O$22,2),HLOOKUP(AL$6,СГИ!$P$1:$AI$2,2)))=1,CONCATENATE("при измерении ",$T11," ",AL$6," не допускается ! "),"")</f>
      </c>
      <c r="AM11">
        <f t="shared" si="3"/>
      </c>
    </row>
    <row r="12" spans="1:39" ht="22.5" customHeight="1" thickBot="1">
      <c r="A12" s="292" t="s">
        <v>379</v>
      </c>
      <c r="B12" s="287"/>
      <c r="C12" s="287"/>
      <c r="D12" s="293" t="s">
        <v>388</v>
      </c>
      <c r="E12" s="280"/>
      <c r="F12" s="280"/>
      <c r="G12" s="280"/>
      <c r="H12" s="267" t="s">
        <v>381</v>
      </c>
      <c r="I12" s="290" t="s">
        <v>382</v>
      </c>
      <c r="J12" s="857"/>
      <c r="K12" s="858" t="str">
        <f>IF(AND(K9="взрывозащита не предусмотрена",OR(K8="",K8="(каналы углеводородов неселективны)")),"ЦЕНЫ без взрывозащиты, руб.:",IF(OR(K7="превышение числа каналов",K7="данные не введены"),"ЦЕНЫ","ЦЕНЫ с взрывозащитой, руб.:"))</f>
        <v>ЦЕНЫ</v>
      </c>
      <c r="L12" s="282">
        <f>IF(AND(E$25=1,OR(E$13&gt;0,E$24&gt;0)),"",IF(AND(E12&gt;0,SUM(E$7:E$24)&lt;17),IF(OR(F12=1,F12=2,F12=3),IF(AND(L$25&gt;1,E$27=1),1,F12),IF(AND(F12="",L$25&gt;1,E$27=1),1,VLOOKUP(D12,СГИ!$A$8:$G$27,7,TRUE))),""))</f>
      </c>
      <c r="M12" s="282">
        <f>IF(E12&gt;0,D12,"")</f>
      </c>
      <c r="N12" s="283">
        <f>IF(AND($O12&gt;1,$O12&lt;17),CONCATENATE("-",$O12,$M12),IF($O12=1,CONCATENATE("-",$M12),""))</f>
      </c>
      <c r="O12" s="284">
        <f>IF(M12="",0,E12)</f>
        <v>0</v>
      </c>
      <c r="P12" s="285">
        <f t="shared" si="2"/>
        <v>0</v>
      </c>
      <c r="Q12" s="273">
        <f>IF(SUM($E$7:$E$24)&gt;8,IF(OR(D12="NO2",D12="HCl"),"--",VLOOKUP(D12,СГИ!$A$8:$G$27,4,TRUE)+VLOOKUP(D12,СГИ!$A$8:$G$27,2,TRUE)),VLOOKUP(D12,СГИ!$A$8:$G$27,4,TRUE))</f>
        <v>8060</v>
      </c>
      <c r="R12" s="274">
        <f>IF(O12&gt;0,VLOOKUP(S12,СГИ!$A$8:$G$27,6,TRUE),"")</f>
      </c>
      <c r="S12" s="274">
        <f t="shared" si="0"/>
      </c>
      <c r="T12" s="276">
        <f>IF(S12="","",S12)</f>
      </c>
      <c r="U12" s="277">
        <f>IF(IF(ISNA(INDEX(СГИ!$P$3:$AI$22,VLOOKUP($T12,СГИ!$N$3:$O$22,2),HLOOKUP(U$6,СГИ!$P$1:$AI$2,2))),"",INDEX(СГИ!$P$3:$AI$22,VLOOKUP($T12,СГИ!$N$3:$O$22,2),HLOOKUP(U$6,СГИ!$P$1:$AI$2,2)))=1,CONCATENATE("при измерении ",$T12," ",U$6," не допускается ! "),"")</f>
      </c>
      <c r="V12" s="277">
        <f>IF(IF(ISNA(INDEX(СГИ!$P$3:$AI$22,VLOOKUP($T12,СГИ!$N$3:$O$22,2),HLOOKUP(V$6,СГИ!$P$1:$AI$2,2))),"",INDEX(СГИ!$P$3:$AI$22,VLOOKUP($T12,СГИ!$N$3:$O$22,2),HLOOKUP(V$6,СГИ!$P$1:$AI$2,2)))=1,CONCATENATE("при измерении ",$T12," ",V$6," не допускается ! "),"")</f>
      </c>
      <c r="W12" s="277">
        <f>IF(IF(ISNA(INDEX(СГИ!$P$3:$AI$22,VLOOKUP($T12,СГИ!$N$3:$O$22,2),HLOOKUP(W$6,СГИ!$P$1:$AI$2,2))),"",INDEX(СГИ!$P$3:$AI$22,VLOOKUP($T12,СГИ!$N$3:$O$22,2),HLOOKUP(W$6,СГИ!$P$1:$AI$2,2)))=1,CONCATENATE("при измерении ",$T12," ",W$6," не допускается ! "),"")</f>
      </c>
      <c r="X12" s="277">
        <f>IF(IF(ISNA(INDEX(СГИ!$P$3:$AI$22,VLOOKUP($T12,СГИ!$N$3:$O$22,2),HLOOKUP(X$6,СГИ!$P$1:$AI$2,2))),"",INDEX(СГИ!$P$3:$AI$22,VLOOKUP($T12,СГИ!$N$3:$O$22,2),HLOOKUP(X$6,СГИ!$P$1:$AI$2,2)))=1,CONCATENATE("при измерении ",$T12," ",X$6," не допускается ! "),"")</f>
      </c>
      <c r="Y12" s="277">
        <f>IF(IF(ISNA(INDEX(СГИ!$P$3:$AI$22,VLOOKUP($T12,СГИ!$N$3:$O$22,2),HLOOKUP(Y$6,СГИ!$P$1:$AI$2,2))),"",INDEX(СГИ!$P$3:$AI$22,VLOOKUP($T12,СГИ!$N$3:$O$22,2),HLOOKUP(Y$6,СГИ!$P$1:$AI$2,2)))=1,CONCATENATE("при измерении ",$T12," ",Y$6," не допускается ! "),"")</f>
      </c>
      <c r="Z12" s="277">
        <f>IF(IF(ISNA(INDEX(СГИ!$P$3:$AI$22,VLOOKUP($T12,СГИ!$N$3:$O$22,2),HLOOKUP(Z$6,СГИ!$P$1:$AI$2,2))),"",INDEX(СГИ!$P$3:$AI$22,VLOOKUP($T12,СГИ!$N$3:$O$22,2),HLOOKUP(Z$6,СГИ!$P$1:$AI$2,2)))=1,CONCATENATE("при измерении ",$T12," ",Z$6," не допускается ! "),"")</f>
      </c>
      <c r="AA12" s="277">
        <f>IF(IF(ISNA(INDEX(СГИ!$P$3:$AI$22,VLOOKUP($T12,СГИ!$N$3:$O$22,2),HLOOKUP(AA$6,СГИ!$P$1:$AI$2,2))),"",INDEX(СГИ!$P$3:$AI$22,VLOOKUP($T12,СГИ!$N$3:$O$22,2),HLOOKUP(AA$6,СГИ!$P$1:$AI$2,2)))=1,CONCATENATE("при измерении ",$T12," ",AA$6," не допускается ! "),"")</f>
      </c>
      <c r="AB12" s="277">
        <f>IF(IF(ISNA(INDEX(СГИ!$P$3:$AI$22,VLOOKUP($T12,СГИ!$N$3:$O$22,2),HLOOKUP(AB$6,СГИ!$P$1:$AI$2,2))),"",INDEX(СГИ!$P$3:$AI$22,VLOOKUP($T12,СГИ!$N$3:$O$22,2),HLOOKUP(AB$6,СГИ!$P$1:$AI$2,2)))=1,CONCATENATE("при измерении ",$T12," ",AB$6," не допускается ! "),"")</f>
      </c>
      <c r="AC12" s="277">
        <f>IF(IF(ISNA(INDEX(СГИ!$P$3:$AI$22,VLOOKUP($T12,СГИ!$N$3:$O$22,2),HLOOKUP(AC$6,СГИ!$P$1:$AI$2,2))),"",INDEX(СГИ!$P$3:$AI$22,VLOOKUP($T12,СГИ!$N$3:$O$22,2),HLOOKUP(AC$6,СГИ!$P$1:$AI$2,2)))=1,CONCATENATE("при измерении ",$T12," ",AC$6," не допускается ! "),"")</f>
      </c>
      <c r="AD12" s="277">
        <f>IF(IF(ISNA(INDEX(СГИ!$P$3:$AI$22,VLOOKUP($T12,СГИ!$N$3:$O$22,2),HLOOKUP(AD$6,СГИ!$P$1:$AI$2,2))),"",INDEX(СГИ!$P$3:$AI$22,VLOOKUP($T12,СГИ!$N$3:$O$22,2),HLOOKUP(AD$6,СГИ!$P$1:$AI$2,2)))=1,CONCATENATE("при измерении ",$T12," ",AD$6," не допускается ! "),"")</f>
      </c>
      <c r="AE12" s="277">
        <f>IF(IF(ISNA(INDEX(СГИ!$P$3:$AI$22,VLOOKUP($T12,СГИ!$N$3:$O$22,2),HLOOKUP(AE$6,СГИ!$P$1:$AI$2,2))),"",INDEX(СГИ!$P$3:$AI$22,VLOOKUP($T12,СГИ!$N$3:$O$22,2),HLOOKUP(AE$6,СГИ!$P$1:$AI$2,2)))=1,CONCATENATE("при измерении ",$T12," ",AE$6," не допускается ! "),"")</f>
      </c>
      <c r="AF12" s="277">
        <f>IF(IF(ISNA(INDEX(СГИ!$P$3:$AI$22,VLOOKUP($T12,СГИ!$N$3:$O$22,2),HLOOKUP(AF$6,СГИ!$P$1:$AI$2,2))),"",INDEX(СГИ!$P$3:$AI$22,VLOOKUP($T12,СГИ!$N$3:$O$22,2),HLOOKUP(AF$6,СГИ!$P$1:$AI$2,2)))=1,CONCATENATE("при измерении ",$T12," ",AF$6," не допускается ! "),"")</f>
      </c>
      <c r="AG12" s="277">
        <f>IF(IF(ISNA(INDEX(СГИ!$P$3:$AI$22,VLOOKUP($T12,СГИ!$N$3:$O$22,2),HLOOKUP(AG$6,СГИ!$P$1:$AI$2,2))),"",INDEX(СГИ!$P$3:$AI$22,VLOOKUP($T12,СГИ!$N$3:$O$22,2),HLOOKUP(AG$6,СГИ!$P$1:$AI$2,2)))=1,CONCATENATE("при измерении ",$T12," ",AG$6," не допускается ! "),"")</f>
      </c>
      <c r="AH12" s="277">
        <f>IF(IF(ISNA(INDEX(СГИ!$P$3:$AI$22,VLOOKUP($T12,СГИ!$N$3:$O$22,2),HLOOKUP(AH$6,СГИ!$P$1:$AI$2,2))),"",INDEX(СГИ!$P$3:$AI$22,VLOOKUP($T12,СГИ!$N$3:$O$22,2),HLOOKUP(AH$6,СГИ!$P$1:$AI$2,2)))=1,CONCATENATE("при измерении ",$T12," ",AH$6," не допускается ! "),"")</f>
      </c>
      <c r="AI12" s="277">
        <f>IF(IF(ISNA(INDEX(СГИ!$P$3:$AI$22,VLOOKUP($T12,СГИ!$N$3:$O$22,2),HLOOKUP(AI$6,СГИ!$P$1:$AI$2,2))),"",INDEX(СГИ!$P$3:$AI$22,VLOOKUP($T12,СГИ!$N$3:$O$22,2),HLOOKUP(AI$6,СГИ!$P$1:$AI$2,2)))=1,CONCATENATE("при измерении ",$T12," ",AI$6," не допускается ! "),"")</f>
      </c>
      <c r="AJ12" s="277">
        <f>IF(IF(ISNA(INDEX(СГИ!$P$3:$AI$22,VLOOKUP($T12,СГИ!$N$3:$O$22,2),HLOOKUP(AJ$6,СГИ!$P$1:$AI$2,2))),"",INDEX(СГИ!$P$3:$AI$22,VLOOKUP($T12,СГИ!$N$3:$O$22,2),HLOOKUP(AJ$6,СГИ!$P$1:$AI$2,2)))=1,CONCATENATE("при измерении ",$T12," ",AJ$6," не допускается ! "),"")</f>
      </c>
      <c r="AK12" s="277">
        <f>IF(IF(ISNA(INDEX(СГИ!$P$3:$AI$22,VLOOKUP($T12,СГИ!$N$3:$O$22,2),HLOOKUP(AK$6,СГИ!$P$1:$AI$2,2))),"",INDEX(СГИ!$P$3:$AI$22,VLOOKUP($T12,СГИ!$N$3:$O$22,2),HLOOKUP(AK$6,СГИ!$P$1:$AI$2,2)))=1,CONCATENATE("при измерении ",$T12," ",AK$6," не допускается ! "),"")</f>
      </c>
      <c r="AL12" s="277">
        <f>IF(IF(ISNA(INDEX(СГИ!$P$3:$AI$22,VLOOKUP($T12,СГИ!$N$3:$O$22,2),HLOOKUP(AL$6,СГИ!$P$1:$AI$2,2))),"",INDEX(СГИ!$P$3:$AI$22,VLOOKUP($T12,СГИ!$N$3:$O$22,2),HLOOKUP(AL$6,СГИ!$P$1:$AI$2,2)))=1,CONCATENATE("при измерении ",$T12," ",AL$6," не допускается ! "),"")</f>
      </c>
      <c r="AM12">
        <f t="shared" si="3"/>
      </c>
    </row>
    <row r="13" spans="2:39" ht="15" customHeight="1" thickBot="1">
      <c r="B13" s="294"/>
      <c r="C13" s="294"/>
      <c r="D13" s="279"/>
      <c r="E13" s="280"/>
      <c r="F13" s="280"/>
      <c r="G13" s="280"/>
      <c r="H13" s="267" t="s">
        <v>375</v>
      </c>
      <c r="J13" s="859" t="s">
        <v>389</v>
      </c>
      <c r="K13" s="860" t="str">
        <f>IF(K14="проверьте ввод данных",K14,K14-K11)</f>
        <v>проверьте ввод данных</v>
      </c>
      <c r="L13" s="282">
        <f>IF(AND(E13&gt;0,SUM(E$7:E$24)&lt;17),IF(OR(F13=1,F13=2,F13=3),IF(AND(L$25&gt;1,E$27=1),1,F13),IF(AND(F13="",L$25&gt;1,E$27=1),1,VLOOKUP(D13,СГИ!$A$8:$G$27,7,TRUE))),"")</f>
      </c>
      <c r="M13" s="282">
        <f>IF(E13&gt;0,D13,"")</f>
      </c>
      <c r="N13" s="283">
        <f>IF(AND($O13&gt;1,$O13&lt;17),CONCATENATE("-",$O13,$M13),IF($O13=1,CONCATENATE("-",$M13),""))</f>
      </c>
      <c r="O13" s="284">
        <f>IF(M13="",0,E13)</f>
        <v>0</v>
      </c>
      <c r="P13" s="285">
        <f t="shared" si="2"/>
        <v>0</v>
      </c>
      <c r="Q13" s="273"/>
      <c r="R13" s="274">
        <f>IF(O13&gt;0,VLOOKUP(S13,СГИ!$A$8:$G$27,6,TRUE),"")</f>
      </c>
      <c r="S13" s="274">
        <f t="shared" si="0"/>
      </c>
      <c r="T13" s="276">
        <f>IF(S13="","",S13)</f>
      </c>
      <c r="U13" s="277">
        <f>IF(IF(ISNA(INDEX(СГИ!$P$3:$AI$22,VLOOKUP($T13,СГИ!$N$3:$O$22,2),HLOOKUP(U$6,СГИ!$P$1:$AI$2,2))),"",INDEX(СГИ!$P$3:$AI$22,VLOOKUP($T13,СГИ!$N$3:$O$22,2),HLOOKUP(U$6,СГИ!$P$1:$AI$2,2)))=1,CONCATENATE("при измерении ",$T13," ",U$6," не допускается ! "),"")</f>
      </c>
      <c r="V13" s="277">
        <f>IF(IF(ISNA(INDEX(СГИ!$P$3:$AI$22,VLOOKUP($T13,СГИ!$N$3:$O$22,2),HLOOKUP(V$6,СГИ!$P$1:$AI$2,2))),"",INDEX(СГИ!$P$3:$AI$22,VLOOKUP($T13,СГИ!$N$3:$O$22,2),HLOOKUP(V$6,СГИ!$P$1:$AI$2,2)))=1,CONCATENATE("при измерении ",$T13," ",V$6," не допускается ! "),"")</f>
      </c>
      <c r="W13" s="277">
        <f>IF(IF(ISNA(INDEX(СГИ!$P$3:$AI$22,VLOOKUP($T13,СГИ!$N$3:$O$22,2),HLOOKUP(W$6,СГИ!$P$1:$AI$2,2))),"",INDEX(СГИ!$P$3:$AI$22,VLOOKUP($T13,СГИ!$N$3:$O$22,2),HLOOKUP(W$6,СГИ!$P$1:$AI$2,2)))=1,CONCATENATE("при измерении ",$T13," ",W$6," не допускается ! "),"")</f>
      </c>
      <c r="X13" s="277">
        <f>IF(IF(ISNA(INDEX(СГИ!$P$3:$AI$22,VLOOKUP($T13,СГИ!$N$3:$O$22,2),HLOOKUP(X$6,СГИ!$P$1:$AI$2,2))),"",INDEX(СГИ!$P$3:$AI$22,VLOOKUP($T13,СГИ!$N$3:$O$22,2),HLOOKUP(X$6,СГИ!$P$1:$AI$2,2)))=1,CONCATENATE("при измерении ",$T13," ",X$6," не допускается ! "),"")</f>
      </c>
      <c r="Y13" s="277">
        <f>IF(IF(ISNA(INDEX(СГИ!$P$3:$AI$22,VLOOKUP($T13,СГИ!$N$3:$O$22,2),HLOOKUP(Y$6,СГИ!$P$1:$AI$2,2))),"",INDEX(СГИ!$P$3:$AI$22,VLOOKUP($T13,СГИ!$N$3:$O$22,2),HLOOKUP(Y$6,СГИ!$P$1:$AI$2,2)))=1,CONCATENATE("при измерении ",$T13," ",Y$6," не допускается ! "),"")</f>
      </c>
      <c r="Z13" s="277">
        <f>IF(IF(ISNA(INDEX(СГИ!$P$3:$AI$22,VLOOKUP($T13,СГИ!$N$3:$O$22,2),HLOOKUP(Z$6,СГИ!$P$1:$AI$2,2))),"",INDEX(СГИ!$P$3:$AI$22,VLOOKUP($T13,СГИ!$N$3:$O$22,2),HLOOKUP(Z$6,СГИ!$P$1:$AI$2,2)))=1,CONCATENATE("при измерении ",$T13," ",Z$6," не допускается ! "),"")</f>
      </c>
      <c r="AA13" s="277">
        <f>IF(IF(ISNA(INDEX(СГИ!$P$3:$AI$22,VLOOKUP($T13,СГИ!$N$3:$O$22,2),HLOOKUP(AA$6,СГИ!$P$1:$AI$2,2))),"",INDEX(СГИ!$P$3:$AI$22,VLOOKUP($T13,СГИ!$N$3:$O$22,2),HLOOKUP(AA$6,СГИ!$P$1:$AI$2,2)))=1,CONCATENATE("при измерении ",$T13," ",AA$6," не допускается ! "),"")</f>
      </c>
      <c r="AB13" s="277">
        <f>IF(IF(ISNA(INDEX(СГИ!$P$3:$AI$22,VLOOKUP($T13,СГИ!$N$3:$O$22,2),HLOOKUP(AB$6,СГИ!$P$1:$AI$2,2))),"",INDEX(СГИ!$P$3:$AI$22,VLOOKUP($T13,СГИ!$N$3:$O$22,2),HLOOKUP(AB$6,СГИ!$P$1:$AI$2,2)))=1,CONCATENATE("при измерении ",$T13," ",AB$6," не допускается ! "),"")</f>
      </c>
      <c r="AC13" s="277">
        <f>IF(IF(ISNA(INDEX(СГИ!$P$3:$AI$22,VLOOKUP($T13,СГИ!$N$3:$O$22,2),HLOOKUP(AC$6,СГИ!$P$1:$AI$2,2))),"",INDEX(СГИ!$P$3:$AI$22,VLOOKUP($T13,СГИ!$N$3:$O$22,2),HLOOKUP(AC$6,СГИ!$P$1:$AI$2,2)))=1,CONCATENATE("при измерении ",$T13," ",AC$6," не допускается ! "),"")</f>
      </c>
      <c r="AD13" s="277">
        <f>IF(IF(ISNA(INDEX(СГИ!$P$3:$AI$22,VLOOKUP($T13,СГИ!$N$3:$O$22,2),HLOOKUP(AD$6,СГИ!$P$1:$AI$2,2))),"",INDEX(СГИ!$P$3:$AI$22,VLOOKUP($T13,СГИ!$N$3:$O$22,2),HLOOKUP(AD$6,СГИ!$P$1:$AI$2,2)))=1,CONCATENATE("при измерении ",$T13," ",AD$6," не допускается ! "),"")</f>
      </c>
      <c r="AE13" s="277">
        <f>IF(IF(ISNA(INDEX(СГИ!$P$3:$AI$22,VLOOKUP($T13,СГИ!$N$3:$O$22,2),HLOOKUP(AE$6,СГИ!$P$1:$AI$2,2))),"",INDEX(СГИ!$P$3:$AI$22,VLOOKUP($T13,СГИ!$N$3:$O$22,2),HLOOKUP(AE$6,СГИ!$P$1:$AI$2,2)))=1,CONCATENATE("при измерении ",$T13," ",AE$6," не допускается ! "),"")</f>
      </c>
      <c r="AF13" s="277">
        <f>IF(IF(ISNA(INDEX(СГИ!$P$3:$AI$22,VLOOKUP($T13,СГИ!$N$3:$O$22,2),HLOOKUP(AF$6,СГИ!$P$1:$AI$2,2))),"",INDEX(СГИ!$P$3:$AI$22,VLOOKUP($T13,СГИ!$N$3:$O$22,2),HLOOKUP(AF$6,СГИ!$P$1:$AI$2,2)))=1,CONCATENATE("при измерении ",$T13," ",AF$6," не допускается ! "),"")</f>
      </c>
      <c r="AG13" s="277">
        <f>IF(IF(ISNA(INDEX(СГИ!$P$3:$AI$22,VLOOKUP($T13,СГИ!$N$3:$O$22,2),HLOOKUP(AG$6,СГИ!$P$1:$AI$2,2))),"",INDEX(СГИ!$P$3:$AI$22,VLOOKUP($T13,СГИ!$N$3:$O$22,2),HLOOKUP(AG$6,СГИ!$P$1:$AI$2,2)))=1,CONCATENATE("при измерении ",$T13," ",AG$6," не допускается ! "),"")</f>
      </c>
      <c r="AH13" s="277">
        <f>IF(IF(ISNA(INDEX(СГИ!$P$3:$AI$22,VLOOKUP($T13,СГИ!$N$3:$O$22,2),HLOOKUP(AH$6,СГИ!$P$1:$AI$2,2))),"",INDEX(СГИ!$P$3:$AI$22,VLOOKUP($T13,СГИ!$N$3:$O$22,2),HLOOKUP(AH$6,СГИ!$P$1:$AI$2,2)))=1,CONCATENATE("при измерении ",$T13," ",AH$6," не допускается ! "),"")</f>
      </c>
      <c r="AI13" s="277">
        <f>IF(IF(ISNA(INDEX(СГИ!$P$3:$AI$22,VLOOKUP($T13,СГИ!$N$3:$O$22,2),HLOOKUP(AI$6,СГИ!$P$1:$AI$2,2))),"",INDEX(СГИ!$P$3:$AI$22,VLOOKUP($T13,СГИ!$N$3:$O$22,2),HLOOKUP(AI$6,СГИ!$P$1:$AI$2,2)))=1,CONCATENATE("при измерении ",$T13," ",AI$6," не допускается ! "),"")</f>
      </c>
      <c r="AJ13" s="277">
        <f>IF(IF(ISNA(INDEX(СГИ!$P$3:$AI$22,VLOOKUP($T13,СГИ!$N$3:$O$22,2),HLOOKUP(AJ$6,СГИ!$P$1:$AI$2,2))),"",INDEX(СГИ!$P$3:$AI$22,VLOOKUP($T13,СГИ!$N$3:$O$22,2),HLOOKUP(AJ$6,СГИ!$P$1:$AI$2,2)))=1,CONCATENATE("при измерении ",$T13," ",AJ$6," не допускается ! "),"")</f>
      </c>
      <c r="AK13" s="277">
        <f>IF(IF(ISNA(INDEX(СГИ!$P$3:$AI$22,VLOOKUP($T13,СГИ!$N$3:$O$22,2),HLOOKUP(AK$6,СГИ!$P$1:$AI$2,2))),"",INDEX(СГИ!$P$3:$AI$22,VLOOKUP($T13,СГИ!$N$3:$O$22,2),HLOOKUP(AK$6,СГИ!$P$1:$AI$2,2)))=1,CONCATENATE("при измерении ",$T13," ",AK$6," не допускается ! "),"")</f>
      </c>
      <c r="AL13" s="277">
        <f>IF(IF(ISNA(INDEX(СГИ!$P$3:$AI$22,VLOOKUP($T13,СГИ!$N$3:$O$22,2),HLOOKUP(AL$6,СГИ!$P$1:$AI$2,2))),"",INDEX(СГИ!$P$3:$AI$22,VLOOKUP($T13,СГИ!$N$3:$O$22,2),HLOOKUP(AL$6,СГИ!$P$1:$AI$2,2)))=1,CONCATENATE("при измерении ",$T13," ",AL$6," не допускается ! "),"")</f>
      </c>
      <c r="AM13">
        <f t="shared" si="3"/>
      </c>
    </row>
    <row r="14" spans="2:39" ht="23.25" customHeight="1" thickBot="1">
      <c r="B14" s="294"/>
      <c r="C14" s="294"/>
      <c r="D14" s="279" t="s">
        <v>136</v>
      </c>
      <c r="E14" s="280"/>
      <c r="F14" s="280"/>
      <c r="G14" s="280"/>
      <c r="H14" s="267" t="s">
        <v>375</v>
      </c>
      <c r="J14" s="861" t="s">
        <v>390</v>
      </c>
      <c r="K14" s="862" t="str">
        <f>IF(OR(K7="канал двуокиси азота или хлористого водорода",K7="превышение числа каналов",K7="данные не введены",K11="--",K9="проверьте ввод данных"),"проверьте ввод данных",IF(AND(MAX(C9:C12)&lt;2,MIN(C9:C12)&gt;-1),ROUND(IF(K9="взрывозащита предусмотрена",1.05,1)*(MAX(R7:R24)+SUMPRODUCT(O7:O24,Q7:Q24)+3000*SIGN(E20+E23)*(O27-(E20+E23)+500*SUMPRODUCT(C9:C12,E9:E12))+R26+R25+R27)+K11,-1)))</f>
        <v>проверьте ввод данных</v>
      </c>
      <c r="L14" s="282">
        <f>IF(AND(E14&gt;0,SUM(E$7:E$24)&lt;17),IF(OR(F14=1,F14=2,F14=3),IF(AND(L$25&gt;1,E$27=1),1,F14),IF(AND(F14="",L$25&gt;1,E$27=1),1,VLOOKUP(D14,СГИ!$A$8:$G$27,7,TRUE))),"")</f>
      </c>
      <c r="M14" s="282">
        <f aca="true" t="shared" si="4" ref="M14:M24">IF(E14&gt;0,D14,"")</f>
      </c>
      <c r="N14" s="283">
        <f t="shared" si="1"/>
      </c>
      <c r="O14" s="284">
        <f aca="true" t="shared" si="5" ref="O14:O24">IF(M14="",0,E14)</f>
        <v>0</v>
      </c>
      <c r="P14" s="285">
        <f t="shared" si="2"/>
        <v>0</v>
      </c>
      <c r="Q14" s="273">
        <f>IF(SUM($E$7:$E$24)&gt;8,IF(OR(D14="NO2",D14="HCl"),"--",VLOOKUP(D14,СГИ!$A$8:$G$27,4,TRUE)+VLOOKUP(D14,СГИ!$A$8:$G$27,2,TRUE)),VLOOKUP(D14,СГИ!$A$8:$G$27,4,TRUE))</f>
        <v>8860</v>
      </c>
      <c r="R14" s="274">
        <f>IF(O14&gt;0,VLOOKUP(S14,СГИ!$A$8:$G$27,6,TRUE),"")</f>
      </c>
      <c r="S14" s="274">
        <f>IF(M10="",IF(AND(M8="",M9="",M11="",M12=""),M14,"CO+гор.газ"),IF(AND(M8="",M9="",M11="",M12=""),"CO+CH4","CO+гор.газ"))</f>
      </c>
      <c r="T14" s="295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>
        <f t="shared" si="3"/>
      </c>
    </row>
    <row r="15" spans="2:39" ht="12.75" customHeight="1" thickBot="1">
      <c r="B15" s="294"/>
      <c r="C15" s="294"/>
      <c r="D15" s="279" t="s">
        <v>391</v>
      </c>
      <c r="E15" s="280"/>
      <c r="F15" s="280"/>
      <c r="G15" s="280"/>
      <c r="H15" s="267" t="s">
        <v>375</v>
      </c>
      <c r="J15" s="863" t="s">
        <v>392</v>
      </c>
      <c r="K15" s="864" t="str">
        <f>IF(OR(K14="проверьте ввод данных",K14=0),"--",K14*СГИ!$B$1)</f>
        <v>--</v>
      </c>
      <c r="L15" s="282">
        <f>IF(AND(E15&gt;0,SUM(E$7:E$24)&lt;17),IF(OR(F15=1,F15=2,F15=3),IF(AND(L$25&gt;1,E$27=1),1,F15),IF(AND(F15="",L$25&gt;1,E$27=1),1,VLOOKUP(D15,СГИ!$A$8:$G$27,7,TRUE))),"")</f>
      </c>
      <c r="M15" s="282">
        <f t="shared" si="4"/>
      </c>
      <c r="N15" s="283">
        <f t="shared" si="1"/>
      </c>
      <c r="O15" s="284">
        <f t="shared" si="5"/>
        <v>0</v>
      </c>
      <c r="P15" s="285">
        <f t="shared" si="2"/>
        <v>0</v>
      </c>
      <c r="Q15" s="273">
        <f>IF(SUM($E$7:$E$24)&gt;8,IF(OR(D15="NO2",D15="HCl"),"--",VLOOKUP(D15,СГИ!$A$8:$G$27,4,TRUE)+VLOOKUP(D15,СГИ!$A$8:$G$27,2,TRUE)),VLOOKUP(D15,СГИ!$A$8:$G$27,4,TRUE))</f>
        <v>8900</v>
      </c>
      <c r="R15" s="274">
        <f>IF(O15&gt;0,VLOOKUP(S15,СГИ!$A$8:$G$27,6,TRUE),"")</f>
      </c>
      <c r="S15" s="274">
        <f t="shared" si="0"/>
      </c>
      <c r="T15" s="276">
        <f aca="true" t="shared" si="6" ref="T15:T24">IF(S15="","",S15)</f>
      </c>
      <c r="U15" s="277">
        <f>IF(IF(ISNA(INDEX(СГИ!$P$3:$AI$22,VLOOKUP($T15,СГИ!$N$3:$O$22,2),HLOOKUP(U$6,СГИ!$P$1:$AI$2,2))),"",INDEX(СГИ!$P$3:$AI$22,VLOOKUP($T15,СГИ!$N$3:$O$22,2),HLOOKUP(U$6,СГИ!$P$1:$AI$2,2)))=1,CONCATENATE("при измерении ",$T15," ",U$6," не допускается ! "),"")</f>
      </c>
      <c r="V15" s="277">
        <f>IF(IF(ISNA(INDEX(СГИ!$P$3:$AI$22,VLOOKUP($T15,СГИ!$N$3:$O$22,2),HLOOKUP(V$6,СГИ!$P$1:$AI$2,2))),"",INDEX(СГИ!$P$3:$AI$22,VLOOKUP($T15,СГИ!$N$3:$O$22,2),HLOOKUP(V$6,СГИ!$P$1:$AI$2,2)))=1,CONCATENATE("при измерении ",$T15," ",V$6," не допускается ! "),"")</f>
      </c>
      <c r="W15" s="277">
        <f>IF(IF(ISNA(INDEX(СГИ!$P$3:$AI$22,VLOOKUP($T15,СГИ!$N$3:$O$22,2),HLOOKUP(W$6,СГИ!$P$1:$AI$2,2))),"",INDEX(СГИ!$P$3:$AI$22,VLOOKUP($T15,СГИ!$N$3:$O$22,2),HLOOKUP(W$6,СГИ!$P$1:$AI$2,2)))=1,CONCATENATE("при измерении ",$T15," ",W$6," не допускается ! "),"")</f>
      </c>
      <c r="X15" s="277">
        <f>IF(IF(ISNA(INDEX(СГИ!$P$3:$AI$22,VLOOKUP($T15,СГИ!$N$3:$O$22,2),HLOOKUP(X$6,СГИ!$P$1:$AI$2,2))),"",INDEX(СГИ!$P$3:$AI$22,VLOOKUP($T15,СГИ!$N$3:$O$22,2),HLOOKUP(X$6,СГИ!$P$1:$AI$2,2)))=1,CONCATENATE("при измерении ",$T15," ",X$6," не допускается ! "),"")</f>
      </c>
      <c r="Y15" s="277">
        <f>IF(IF(ISNA(INDEX(СГИ!$P$3:$AI$22,VLOOKUP($T15,СГИ!$N$3:$O$22,2),HLOOKUP(Y$6,СГИ!$P$1:$AI$2,2))),"",INDEX(СГИ!$P$3:$AI$22,VLOOKUP($T15,СГИ!$N$3:$O$22,2),HLOOKUP(Y$6,СГИ!$P$1:$AI$2,2)))=1,CONCATENATE("при измерении ",$T15," ",Y$6," не допускается ! "),"")</f>
      </c>
      <c r="Z15" s="277">
        <f>IF(IF(ISNA(INDEX(СГИ!$P$3:$AI$22,VLOOKUP($T15,СГИ!$N$3:$O$22,2),HLOOKUP(Z$6,СГИ!$P$1:$AI$2,2))),"",INDEX(СГИ!$P$3:$AI$22,VLOOKUP($T15,СГИ!$N$3:$O$22,2),HLOOKUP(Z$6,СГИ!$P$1:$AI$2,2)))=1,CONCATENATE("при измерении ",$T15," ",Z$6," не допускается ! "),"")</f>
      </c>
      <c r="AA15" s="277">
        <f>IF(IF(ISNA(INDEX(СГИ!$P$3:$AI$22,VLOOKUP($T15,СГИ!$N$3:$O$22,2),HLOOKUP(AA$6,СГИ!$P$1:$AI$2,2))),"",INDEX(СГИ!$P$3:$AI$22,VLOOKUP($T15,СГИ!$N$3:$O$22,2),HLOOKUP(AA$6,СГИ!$P$1:$AI$2,2)))=1,CONCATENATE("при измерении ",$T15," ",AA$6," не допускается ! "),"")</f>
      </c>
      <c r="AB15" s="277">
        <f>IF(IF(ISNA(INDEX(СГИ!$P$3:$AI$22,VLOOKUP($T15,СГИ!$N$3:$O$22,2),HLOOKUP(AB$6,СГИ!$P$1:$AI$2,2))),"",INDEX(СГИ!$P$3:$AI$22,VLOOKUP($T15,СГИ!$N$3:$O$22,2),HLOOKUP(AB$6,СГИ!$P$1:$AI$2,2)))=1,CONCATENATE("при измерении ",$T15," ",AB$6," не допускается ! "),"")</f>
      </c>
      <c r="AC15" s="277">
        <f>IF(IF(ISNA(INDEX(СГИ!$P$3:$AI$22,VLOOKUP($T15,СГИ!$N$3:$O$22,2),HLOOKUP(AC$6,СГИ!$P$1:$AI$2,2))),"",INDEX(СГИ!$P$3:$AI$22,VLOOKUP($T15,СГИ!$N$3:$O$22,2),HLOOKUP(AC$6,СГИ!$P$1:$AI$2,2)))=1,CONCATENATE("при измерении ",$T15," ",AC$6," не допускается ! "),"")</f>
      </c>
      <c r="AD15" s="277">
        <f>IF(IF(ISNA(INDEX(СГИ!$P$3:$AI$22,VLOOKUP($T15,СГИ!$N$3:$O$22,2),HLOOKUP(AD$6,СГИ!$P$1:$AI$2,2))),"",INDEX(СГИ!$P$3:$AI$22,VLOOKUP($T15,СГИ!$N$3:$O$22,2),HLOOKUP(AD$6,СГИ!$P$1:$AI$2,2)))=1,CONCATENATE("при измерении ",$T15," ",AD$6," не допускается ! "),"")</f>
      </c>
      <c r="AE15" s="277">
        <f>IF(IF(ISNA(INDEX(СГИ!$P$3:$AI$22,VLOOKUP($T15,СГИ!$N$3:$O$22,2),HLOOKUP(AE$6,СГИ!$P$1:$AI$2,2))),"",INDEX(СГИ!$P$3:$AI$22,VLOOKUP($T15,СГИ!$N$3:$O$22,2),HLOOKUP(AE$6,СГИ!$P$1:$AI$2,2)))=1,CONCATENATE("при измерении ",$T15," ",AE$6," не допускается ! "),"")</f>
      </c>
      <c r="AF15" s="277">
        <f>IF(IF(ISNA(INDEX(СГИ!$P$3:$AI$22,VLOOKUP($T15,СГИ!$N$3:$O$22,2),HLOOKUP(AF$6,СГИ!$P$1:$AI$2,2))),"",INDEX(СГИ!$P$3:$AI$22,VLOOKUP($T15,СГИ!$N$3:$O$22,2),HLOOKUP(AF$6,СГИ!$P$1:$AI$2,2)))=1,CONCATENATE("при измерении ",$T15," ",AF$6," не допускается ! "),"")</f>
      </c>
      <c r="AG15" s="277">
        <f>IF(IF(ISNA(INDEX(СГИ!$P$3:$AI$22,VLOOKUP($T15,СГИ!$N$3:$O$22,2),HLOOKUP(AG$6,СГИ!$P$1:$AI$2,2))),"",INDEX(СГИ!$P$3:$AI$22,VLOOKUP($T15,СГИ!$N$3:$O$22,2),HLOOKUP(AG$6,СГИ!$P$1:$AI$2,2)))=1,CONCATENATE("при измерении ",$T15," ",AG$6," не допускается ! "),"")</f>
      </c>
      <c r="AH15" s="277">
        <f>IF(IF(ISNA(INDEX(СГИ!$P$3:$AI$22,VLOOKUP($T15,СГИ!$N$3:$O$22,2),HLOOKUP(AH$6,СГИ!$P$1:$AI$2,2))),"",INDEX(СГИ!$P$3:$AI$22,VLOOKUP($T15,СГИ!$N$3:$O$22,2),HLOOKUP(AH$6,СГИ!$P$1:$AI$2,2)))=1,CONCATENATE("при измерении ",$T15," ",AH$6," не допускается ! "),"")</f>
      </c>
      <c r="AI15" s="277">
        <f>IF(IF(ISNA(INDEX(СГИ!$P$3:$AI$22,VLOOKUP($T15,СГИ!$N$3:$O$22,2),HLOOKUP(AI$6,СГИ!$P$1:$AI$2,2))),"",INDEX(СГИ!$P$3:$AI$22,VLOOKUP($T15,СГИ!$N$3:$O$22,2),HLOOKUP(AI$6,СГИ!$P$1:$AI$2,2)))=1,CONCATENATE("при измерении ",$T15," ",AI$6," не допускается ! "),"")</f>
      </c>
      <c r="AJ15" s="277">
        <f>IF(IF(ISNA(INDEX(СГИ!$P$3:$AI$22,VLOOKUP($T15,СГИ!$N$3:$O$22,2),HLOOKUP(AJ$6,СГИ!$P$1:$AI$2,2))),"",INDEX(СГИ!$P$3:$AI$22,VLOOKUP($T15,СГИ!$N$3:$O$22,2),HLOOKUP(AJ$6,СГИ!$P$1:$AI$2,2)))=1,CONCATENATE("при измерении ",$T15," ",AJ$6," не допускается ! "),"")</f>
      </c>
      <c r="AK15" s="277">
        <f>IF(IF(ISNA(INDEX(СГИ!$P$3:$AI$22,VLOOKUP($T15,СГИ!$N$3:$O$22,2),HLOOKUP(AK$6,СГИ!$P$1:$AI$2,2))),"",INDEX(СГИ!$P$3:$AI$22,VLOOKUP($T15,СГИ!$N$3:$O$22,2),HLOOKUP(AK$6,СГИ!$P$1:$AI$2,2)))=1,CONCATENATE("при измерении ",$T15," ",AK$6," не допускается ! "),"")</f>
      </c>
      <c r="AL15" s="277">
        <f>IF(IF(ISNA(INDEX(СГИ!$P$3:$AI$22,VLOOKUP($T15,СГИ!$N$3:$O$22,2),HLOOKUP(AL$6,СГИ!$P$1:$AI$2,2))),"",INDEX(СГИ!$P$3:$AI$22,VLOOKUP($T15,СГИ!$N$3:$O$22,2),HLOOKUP(AL$6,СГИ!$P$1:$AI$2,2)))=1,CONCATENATE("при измерении ",$T15," ",AL$6," не допускается ! "),"")</f>
      </c>
      <c r="AM15">
        <f t="shared" si="3"/>
      </c>
    </row>
    <row r="16" spans="2:39" ht="13.5" customHeight="1">
      <c r="B16" s="294"/>
      <c r="C16" s="294"/>
      <c r="D16" s="279" t="s">
        <v>393</v>
      </c>
      <c r="E16" s="280"/>
      <c r="F16" s="280"/>
      <c r="G16" s="280"/>
      <c r="H16" s="267" t="s">
        <v>375</v>
      </c>
      <c r="J16" s="865" t="s">
        <v>394</v>
      </c>
      <c r="K16" s="866" t="str">
        <f>IF(OR(K14="проверьте ввод данных",K14=0),"--",SUM(K14:K15))</f>
        <v>--</v>
      </c>
      <c r="L16" s="282">
        <f>IF(AND(E16&gt;0,SUM(E$7:E$24)&lt;17),IF(OR(F16=1,F16=2,F16=3),IF(AND(L$25&gt;1,E$27=1),1,F16),IF(AND(F16="",L$25&gt;1,E$27=1),1,VLOOKUP(D16,СГИ!$A$8:$G$27,7,TRUE))),"")</f>
      </c>
      <c r="M16" s="282">
        <f t="shared" si="4"/>
      </c>
      <c r="N16" s="283">
        <f t="shared" si="1"/>
      </c>
      <c r="O16" s="284">
        <f t="shared" si="5"/>
        <v>0</v>
      </c>
      <c r="P16" s="285">
        <f t="shared" si="2"/>
        <v>0</v>
      </c>
      <c r="Q16" s="273">
        <f>IF(SUM($E$7:$E$24)&gt;8,IF(OR(D16="NO2",D16="HCl"),"--",VLOOKUP(D16,СГИ!$A$8:$G$27,4,TRUE)+VLOOKUP(D16,СГИ!$A$8:$G$27,2,TRUE)),VLOOKUP(D16,СГИ!$A$8:$G$27,4,TRUE))</f>
        <v>9210</v>
      </c>
      <c r="R16" s="274">
        <f>IF(O16&gt;0,VLOOKUP(S16,СГИ!$A$8:$G$27,6,TRUE),"")</f>
      </c>
      <c r="S16" s="274">
        <f t="shared" si="0"/>
      </c>
      <c r="T16" s="276">
        <f t="shared" si="6"/>
      </c>
      <c r="U16" s="277">
        <f>IF(IF(ISNA(INDEX(СГИ!$P$3:$AI$22,VLOOKUP($T16,СГИ!$N$3:$O$22,2),HLOOKUP(U$6,СГИ!$P$1:$AI$2,2))),"",INDEX(СГИ!$P$3:$AI$22,VLOOKUP($T16,СГИ!$N$3:$O$22,2),HLOOKUP(U$6,СГИ!$P$1:$AI$2,2)))=1,CONCATENATE("при измерении ",$T16," ",U$6," не допускается ! "),"")</f>
      </c>
      <c r="V16" s="277">
        <f>IF(IF(ISNA(INDEX(СГИ!$P$3:$AI$22,VLOOKUP($T16,СГИ!$N$3:$O$22,2),HLOOKUP(V$6,СГИ!$P$1:$AI$2,2))),"",INDEX(СГИ!$P$3:$AI$22,VLOOKUP($T16,СГИ!$N$3:$O$22,2),HLOOKUP(V$6,СГИ!$P$1:$AI$2,2)))=1,CONCATENATE("при измерении ",$T16," ",V$6," не допускается ! "),"")</f>
      </c>
      <c r="W16" s="277">
        <f>IF(IF(ISNA(INDEX(СГИ!$P$3:$AI$22,VLOOKUP($T16,СГИ!$N$3:$O$22,2),HLOOKUP(W$6,СГИ!$P$1:$AI$2,2))),"",INDEX(СГИ!$P$3:$AI$22,VLOOKUP($T16,СГИ!$N$3:$O$22,2),HLOOKUP(W$6,СГИ!$P$1:$AI$2,2)))=1,CONCATENATE("при измерении ",$T16," ",W$6," не допускается ! "),"")</f>
      </c>
      <c r="X16" s="277">
        <f>IF(IF(ISNA(INDEX(СГИ!$P$3:$AI$22,VLOOKUP($T16,СГИ!$N$3:$O$22,2),HLOOKUP(X$6,СГИ!$P$1:$AI$2,2))),"",INDEX(СГИ!$P$3:$AI$22,VLOOKUP($T16,СГИ!$N$3:$O$22,2),HLOOKUP(X$6,СГИ!$P$1:$AI$2,2)))=1,CONCATENATE("при измерении ",$T16," ",X$6," не допускается ! "),"")</f>
      </c>
      <c r="Y16" s="277">
        <f>IF(IF(ISNA(INDEX(СГИ!$P$3:$AI$22,VLOOKUP($T16,СГИ!$N$3:$O$22,2),HLOOKUP(Y$6,СГИ!$P$1:$AI$2,2))),"",INDEX(СГИ!$P$3:$AI$22,VLOOKUP($T16,СГИ!$N$3:$O$22,2),HLOOKUP(Y$6,СГИ!$P$1:$AI$2,2)))=1,CONCATENATE("при измерении ",$T16," ",Y$6," не допускается ! "),"")</f>
      </c>
      <c r="Z16" s="277">
        <f>IF(IF(ISNA(INDEX(СГИ!$P$3:$AI$22,VLOOKUP($T16,СГИ!$N$3:$O$22,2),HLOOKUP(Z$6,СГИ!$P$1:$AI$2,2))),"",INDEX(СГИ!$P$3:$AI$22,VLOOKUP($T16,СГИ!$N$3:$O$22,2),HLOOKUP(Z$6,СГИ!$P$1:$AI$2,2)))=1,CONCATENATE("при измерении ",$T16," ",Z$6," не допускается ! "),"")</f>
      </c>
      <c r="AA16" s="277">
        <f>IF(IF(ISNA(INDEX(СГИ!$P$3:$AI$22,VLOOKUP($T16,СГИ!$N$3:$O$22,2),HLOOKUP(AA$6,СГИ!$P$1:$AI$2,2))),"",INDEX(СГИ!$P$3:$AI$22,VLOOKUP($T16,СГИ!$N$3:$O$22,2),HLOOKUP(AA$6,СГИ!$P$1:$AI$2,2)))=1,CONCATENATE("при измерении ",$T16," ",AA$6," не допускается ! "),"")</f>
      </c>
      <c r="AB16" s="277">
        <f>IF(IF(ISNA(INDEX(СГИ!$P$3:$AI$22,VLOOKUP($T16,СГИ!$N$3:$O$22,2),HLOOKUP(AB$6,СГИ!$P$1:$AI$2,2))),"",INDEX(СГИ!$P$3:$AI$22,VLOOKUP($T16,СГИ!$N$3:$O$22,2),HLOOKUP(AB$6,СГИ!$P$1:$AI$2,2)))=1,CONCATENATE("при измерении ",$T16," ",AB$6," не допускается ! "),"")</f>
      </c>
      <c r="AC16" s="277">
        <f>IF(IF(ISNA(INDEX(СГИ!$P$3:$AI$22,VLOOKUP($T16,СГИ!$N$3:$O$22,2),HLOOKUP(AC$6,СГИ!$P$1:$AI$2,2))),"",INDEX(СГИ!$P$3:$AI$22,VLOOKUP($T16,СГИ!$N$3:$O$22,2),HLOOKUP(AC$6,СГИ!$P$1:$AI$2,2)))=1,CONCATENATE("при измерении ",$T16," ",AC$6," не допускается ! "),"")</f>
      </c>
      <c r="AD16" s="277">
        <f>IF(IF(ISNA(INDEX(СГИ!$P$3:$AI$22,VLOOKUP($T16,СГИ!$N$3:$O$22,2),HLOOKUP(AD$6,СГИ!$P$1:$AI$2,2))),"",INDEX(СГИ!$P$3:$AI$22,VLOOKUP($T16,СГИ!$N$3:$O$22,2),HLOOKUP(AD$6,СГИ!$P$1:$AI$2,2)))=1,CONCATENATE("при измерении ",$T16," ",AD$6," не допускается ! "),"")</f>
      </c>
      <c r="AE16" s="277">
        <f>IF(IF(ISNA(INDEX(СГИ!$P$3:$AI$22,VLOOKUP($T16,СГИ!$N$3:$O$22,2),HLOOKUP(AE$6,СГИ!$P$1:$AI$2,2))),"",INDEX(СГИ!$P$3:$AI$22,VLOOKUP($T16,СГИ!$N$3:$O$22,2),HLOOKUP(AE$6,СГИ!$P$1:$AI$2,2)))=1,CONCATENATE("при измерении ",$T16," ",AE$6," не допускается ! "),"")</f>
      </c>
      <c r="AF16" s="277">
        <f>IF(IF(ISNA(INDEX(СГИ!$P$3:$AI$22,VLOOKUP($T16,СГИ!$N$3:$O$22,2),HLOOKUP(AF$6,СГИ!$P$1:$AI$2,2))),"",INDEX(СГИ!$P$3:$AI$22,VLOOKUP($T16,СГИ!$N$3:$O$22,2),HLOOKUP(AF$6,СГИ!$P$1:$AI$2,2)))=1,CONCATENATE("при измерении ",$T16," ",AF$6," не допускается ! "),"")</f>
      </c>
      <c r="AG16" s="277">
        <f>IF(IF(ISNA(INDEX(СГИ!$P$3:$AI$22,VLOOKUP($T16,СГИ!$N$3:$O$22,2),HLOOKUP(AG$6,СГИ!$P$1:$AI$2,2))),"",INDEX(СГИ!$P$3:$AI$22,VLOOKUP($T16,СГИ!$N$3:$O$22,2),HLOOKUP(AG$6,СГИ!$P$1:$AI$2,2)))=1,CONCATENATE("при измерении ",$T16," ",AG$6," не допускается ! "),"")</f>
      </c>
      <c r="AH16" s="277">
        <f>IF(IF(ISNA(INDEX(СГИ!$P$3:$AI$22,VLOOKUP($T16,СГИ!$N$3:$O$22,2),HLOOKUP(AH$6,СГИ!$P$1:$AI$2,2))),"",INDEX(СГИ!$P$3:$AI$22,VLOOKUP($T16,СГИ!$N$3:$O$22,2),HLOOKUP(AH$6,СГИ!$P$1:$AI$2,2)))=1,CONCATENATE("при измерении ",$T16," ",AH$6," не допускается ! "),"")</f>
      </c>
      <c r="AI16" s="277">
        <f>IF(IF(ISNA(INDEX(СГИ!$P$3:$AI$22,VLOOKUP($T16,СГИ!$N$3:$O$22,2),HLOOKUP(AI$6,СГИ!$P$1:$AI$2,2))),"",INDEX(СГИ!$P$3:$AI$22,VLOOKUP($T16,СГИ!$N$3:$O$22,2),HLOOKUP(AI$6,СГИ!$P$1:$AI$2,2)))=1,CONCATENATE("при измерении ",$T16," ",AI$6," не допускается ! "),"")</f>
      </c>
      <c r="AJ16" s="277">
        <f>IF(IF(ISNA(INDEX(СГИ!$P$3:$AI$22,VLOOKUP($T16,СГИ!$N$3:$O$22,2),HLOOKUP(AJ$6,СГИ!$P$1:$AI$2,2))),"",INDEX(СГИ!$P$3:$AI$22,VLOOKUP($T16,СГИ!$N$3:$O$22,2),HLOOKUP(AJ$6,СГИ!$P$1:$AI$2,2)))=1,CONCATENATE("при измерении ",$T16," ",AJ$6," не допускается ! "),"")</f>
      </c>
      <c r="AK16" s="277">
        <f>IF(IF(ISNA(INDEX(СГИ!$P$3:$AI$22,VLOOKUP($T16,СГИ!$N$3:$O$22,2),HLOOKUP(AK$6,СГИ!$P$1:$AI$2,2))),"",INDEX(СГИ!$P$3:$AI$22,VLOOKUP($T16,СГИ!$N$3:$O$22,2),HLOOKUP(AK$6,СГИ!$P$1:$AI$2,2)))=1,CONCATENATE("при измерении ",$T16," ",AK$6," не допускается ! "),"")</f>
      </c>
      <c r="AL16" s="277">
        <f>IF(IF(ISNA(INDEX(СГИ!$P$3:$AI$22,VLOOKUP($T16,СГИ!$N$3:$O$22,2),HLOOKUP(AL$6,СГИ!$P$1:$AI$2,2))),"",INDEX(СГИ!$P$3:$AI$22,VLOOKUP($T16,СГИ!$N$3:$O$22,2),HLOOKUP(AL$6,СГИ!$P$1:$AI$2,2)))=1,CONCATENATE("при измерении ",$T16," ",AL$6," не допускается ! "),"")</f>
      </c>
      <c r="AM16">
        <f t="shared" si="3"/>
      </c>
    </row>
    <row r="17" spans="2:39" ht="12.75" customHeight="1">
      <c r="B17" s="294"/>
      <c r="C17" s="294"/>
      <c r="D17" s="279" t="s">
        <v>395</v>
      </c>
      <c r="E17" s="280"/>
      <c r="F17" s="280"/>
      <c r="G17" s="280"/>
      <c r="H17" s="267" t="s">
        <v>375</v>
      </c>
      <c r="J17" s="867"/>
      <c r="K17" s="868"/>
      <c r="L17" s="282">
        <f>IF(AND(E17&gt;0,SUM(E$7:E$24)&lt;17),IF(OR(F17=1,F17=2,F17=3),IF(AND(L$25&gt;1,E$27=1),1,F17),IF(AND(F17="",L$25&gt;1,E$27=1),1,VLOOKUP(D17,СГИ!$A$8:$G$27,7,TRUE))),"")</f>
      </c>
      <c r="M17" s="282">
        <f t="shared" si="4"/>
      </c>
      <c r="N17" s="283">
        <f t="shared" si="1"/>
      </c>
      <c r="O17" s="284">
        <f t="shared" si="5"/>
        <v>0</v>
      </c>
      <c r="P17" s="285">
        <f t="shared" si="2"/>
        <v>0</v>
      </c>
      <c r="Q17" s="273">
        <f>IF(SUM($E$7:$E$24)&gt;8,IF(OR(D17="NO2",D17="HCl"),"--",VLOOKUP(D17,СГИ!$A$8:$G$27,4,TRUE)+VLOOKUP(D17,СГИ!$A$8:$G$27,2,TRUE)),VLOOKUP(D17,СГИ!$A$8:$G$27,4,TRUE))</f>
        <v>8410</v>
      </c>
      <c r="R17" s="274">
        <f>IF(O17&gt;0,VLOOKUP(S17,СГИ!$A$8:$G$27,6,TRUE),"")</f>
      </c>
      <c r="S17" s="274">
        <f t="shared" si="0"/>
      </c>
      <c r="T17" s="276">
        <f t="shared" si="6"/>
      </c>
      <c r="U17" s="277">
        <f>IF(IF(ISNA(INDEX(СГИ!$P$3:$AI$22,VLOOKUP($T17,СГИ!$N$3:$O$22,2),HLOOKUP(U$6,СГИ!$P$1:$AI$2,2))),"",INDEX(СГИ!$P$3:$AI$22,VLOOKUP($T17,СГИ!$N$3:$O$22,2),HLOOKUP(U$6,СГИ!$P$1:$AI$2,2)))=1,CONCATENATE("при измерении ",$T17," ",U$6," не допускается ! "),"")</f>
      </c>
      <c r="V17" s="277">
        <f>IF(IF(ISNA(INDEX(СГИ!$P$3:$AI$22,VLOOKUP($T17,СГИ!$N$3:$O$22,2),HLOOKUP(V$6,СГИ!$P$1:$AI$2,2))),"",INDEX(СГИ!$P$3:$AI$22,VLOOKUP($T17,СГИ!$N$3:$O$22,2),HLOOKUP(V$6,СГИ!$P$1:$AI$2,2)))=1,CONCATENATE("при измерении ",$T17," ",V$6," не допускается ! "),"")</f>
      </c>
      <c r="W17" s="277">
        <f>IF(IF(ISNA(INDEX(СГИ!$P$3:$AI$22,VLOOKUP($T17,СГИ!$N$3:$O$22,2),HLOOKUP(W$6,СГИ!$P$1:$AI$2,2))),"",INDEX(СГИ!$P$3:$AI$22,VLOOKUP($T17,СГИ!$N$3:$O$22,2),HLOOKUP(W$6,СГИ!$P$1:$AI$2,2)))=1,CONCATENATE("при измерении ",$T17," ",W$6," не допускается ! "),"")</f>
      </c>
      <c r="X17" s="277">
        <f>IF(IF(ISNA(INDEX(СГИ!$P$3:$AI$22,VLOOKUP($T17,СГИ!$N$3:$O$22,2),HLOOKUP(X$6,СГИ!$P$1:$AI$2,2))),"",INDEX(СГИ!$P$3:$AI$22,VLOOKUP($T17,СГИ!$N$3:$O$22,2),HLOOKUP(X$6,СГИ!$P$1:$AI$2,2)))=1,CONCATENATE("при измерении ",$T17," ",X$6," не допускается ! "),"")</f>
      </c>
      <c r="Y17" s="277">
        <f>IF(IF(ISNA(INDEX(СГИ!$P$3:$AI$22,VLOOKUP($T17,СГИ!$N$3:$O$22,2),HLOOKUP(Y$6,СГИ!$P$1:$AI$2,2))),"",INDEX(СГИ!$P$3:$AI$22,VLOOKUP($T17,СГИ!$N$3:$O$22,2),HLOOKUP(Y$6,СГИ!$P$1:$AI$2,2)))=1,CONCATENATE("при измерении ",$T17," ",Y$6," не допускается ! "),"")</f>
      </c>
      <c r="Z17" s="277">
        <f>IF(IF(ISNA(INDEX(СГИ!$P$3:$AI$22,VLOOKUP($T17,СГИ!$N$3:$O$22,2),HLOOKUP(Z$6,СГИ!$P$1:$AI$2,2))),"",INDEX(СГИ!$P$3:$AI$22,VLOOKUP($T17,СГИ!$N$3:$O$22,2),HLOOKUP(Z$6,СГИ!$P$1:$AI$2,2)))=1,CONCATENATE("при измерении ",$T17," ",Z$6," не допускается ! "),"")</f>
      </c>
      <c r="AA17" s="277">
        <f>IF(IF(ISNA(INDEX(СГИ!$P$3:$AI$22,VLOOKUP($T17,СГИ!$N$3:$O$22,2),HLOOKUP(AA$6,СГИ!$P$1:$AI$2,2))),"",INDEX(СГИ!$P$3:$AI$22,VLOOKUP($T17,СГИ!$N$3:$O$22,2),HLOOKUP(AA$6,СГИ!$P$1:$AI$2,2)))=1,CONCATENATE("при измерении ",$T17," ",AA$6," не допускается ! "),"")</f>
      </c>
      <c r="AB17" s="277">
        <f>IF(IF(ISNA(INDEX(СГИ!$P$3:$AI$22,VLOOKUP($T17,СГИ!$N$3:$O$22,2),HLOOKUP(AB$6,СГИ!$P$1:$AI$2,2))),"",INDEX(СГИ!$P$3:$AI$22,VLOOKUP($T17,СГИ!$N$3:$O$22,2),HLOOKUP(AB$6,СГИ!$P$1:$AI$2,2)))=1,CONCATENATE("при измерении ",$T17," ",AB$6," не допускается ! "),"")</f>
      </c>
      <c r="AC17" s="277">
        <f>IF(IF(ISNA(INDEX(СГИ!$P$3:$AI$22,VLOOKUP($T17,СГИ!$N$3:$O$22,2),HLOOKUP(AC$6,СГИ!$P$1:$AI$2,2))),"",INDEX(СГИ!$P$3:$AI$22,VLOOKUP($T17,СГИ!$N$3:$O$22,2),HLOOKUP(AC$6,СГИ!$P$1:$AI$2,2)))=1,CONCATENATE("при измерении ",$T17," ",AC$6," не допускается ! "),"")</f>
      </c>
      <c r="AD17" s="277">
        <f>IF(IF(ISNA(INDEX(СГИ!$P$3:$AI$22,VLOOKUP($T17,СГИ!$N$3:$O$22,2),HLOOKUP(AD$6,СГИ!$P$1:$AI$2,2))),"",INDEX(СГИ!$P$3:$AI$22,VLOOKUP($T17,СГИ!$N$3:$O$22,2),HLOOKUP(AD$6,СГИ!$P$1:$AI$2,2)))=1,CONCATENATE("при измерении ",$T17," ",AD$6," не допускается ! "),"")</f>
      </c>
      <c r="AE17" s="277">
        <f>IF(IF(ISNA(INDEX(СГИ!$P$3:$AI$22,VLOOKUP($T17,СГИ!$N$3:$O$22,2),HLOOKUP(AE$6,СГИ!$P$1:$AI$2,2))),"",INDEX(СГИ!$P$3:$AI$22,VLOOKUP($T17,СГИ!$N$3:$O$22,2),HLOOKUP(AE$6,СГИ!$P$1:$AI$2,2)))=1,CONCATENATE("при измерении ",$T17," ",AE$6," не допускается ! "),"")</f>
      </c>
      <c r="AF17" s="277">
        <f>IF(IF(ISNA(INDEX(СГИ!$P$3:$AI$22,VLOOKUP($T17,СГИ!$N$3:$O$22,2),HLOOKUP(AF$6,СГИ!$P$1:$AI$2,2))),"",INDEX(СГИ!$P$3:$AI$22,VLOOKUP($T17,СГИ!$N$3:$O$22,2),HLOOKUP(AF$6,СГИ!$P$1:$AI$2,2)))=1,CONCATENATE("при измерении ",$T17," ",AF$6," не допускается ! "),"")</f>
      </c>
      <c r="AG17" s="277">
        <f>IF(IF(ISNA(INDEX(СГИ!$P$3:$AI$22,VLOOKUP($T17,СГИ!$N$3:$O$22,2),HLOOKUP(AG$6,СГИ!$P$1:$AI$2,2))),"",INDEX(СГИ!$P$3:$AI$22,VLOOKUP($T17,СГИ!$N$3:$O$22,2),HLOOKUP(AG$6,СГИ!$P$1:$AI$2,2)))=1,CONCATENATE("при измерении ",$T17," ",AG$6," не допускается ! "),"")</f>
      </c>
      <c r="AH17" s="277">
        <f>IF(IF(ISNA(INDEX(СГИ!$P$3:$AI$22,VLOOKUP($T17,СГИ!$N$3:$O$22,2),HLOOKUP(AH$6,СГИ!$P$1:$AI$2,2))),"",INDEX(СГИ!$P$3:$AI$22,VLOOKUP($T17,СГИ!$N$3:$O$22,2),HLOOKUP(AH$6,СГИ!$P$1:$AI$2,2)))=1,CONCATENATE("при измерении ",$T17," ",AH$6," не допускается ! "),"")</f>
      </c>
      <c r="AI17" s="277">
        <f>IF(IF(ISNA(INDEX(СГИ!$P$3:$AI$22,VLOOKUP($T17,СГИ!$N$3:$O$22,2),HLOOKUP(AI$6,СГИ!$P$1:$AI$2,2))),"",INDEX(СГИ!$P$3:$AI$22,VLOOKUP($T17,СГИ!$N$3:$O$22,2),HLOOKUP(AI$6,СГИ!$P$1:$AI$2,2)))=1,CONCATENATE("при измерении ",$T17," ",AI$6," не допускается ! "),"")</f>
      </c>
      <c r="AJ17" s="277">
        <f>IF(IF(ISNA(INDEX(СГИ!$P$3:$AI$22,VLOOKUP($T17,СГИ!$N$3:$O$22,2),HLOOKUP(AJ$6,СГИ!$P$1:$AI$2,2))),"",INDEX(СГИ!$P$3:$AI$22,VLOOKUP($T17,СГИ!$N$3:$O$22,2),HLOOKUP(AJ$6,СГИ!$P$1:$AI$2,2)))=1,CONCATENATE("при измерении ",$T17," ",AJ$6," не допускается ! "),"")</f>
      </c>
      <c r="AK17" s="277">
        <f>IF(IF(ISNA(INDEX(СГИ!$P$3:$AI$22,VLOOKUP($T17,СГИ!$N$3:$O$22,2),HLOOKUP(AK$6,СГИ!$P$1:$AI$2,2))),"",INDEX(СГИ!$P$3:$AI$22,VLOOKUP($T17,СГИ!$N$3:$O$22,2),HLOOKUP(AK$6,СГИ!$P$1:$AI$2,2)))=1,CONCATENATE("при измерении ",$T17," ",AK$6," не допускается ! "),"")</f>
      </c>
      <c r="AL17" s="277">
        <f>IF(IF(ISNA(INDEX(СГИ!$P$3:$AI$22,VLOOKUP($T17,СГИ!$N$3:$O$22,2),HLOOKUP(AL$6,СГИ!$P$1:$AI$2,2))),"",INDEX(СГИ!$P$3:$AI$22,VLOOKUP($T17,СГИ!$N$3:$O$22,2),HLOOKUP(AL$6,СГИ!$P$1:$AI$2,2)))=1,CONCATENATE("при измерении ",$T17," ",AL$6," не допускается ! "),"")</f>
      </c>
      <c r="AM17">
        <f t="shared" si="3"/>
      </c>
    </row>
    <row r="18" spans="2:39" ht="13.5" customHeight="1">
      <c r="B18" s="294"/>
      <c r="C18" s="294"/>
      <c r="D18" s="279" t="s">
        <v>396</v>
      </c>
      <c r="E18" s="280"/>
      <c r="F18" s="280"/>
      <c r="G18" s="280"/>
      <c r="H18" s="267" t="s">
        <v>375</v>
      </c>
      <c r="J18" s="869"/>
      <c r="K18" s="870" t="s">
        <v>397</v>
      </c>
      <c r="L18" s="282">
        <f>IF(AND(E18&gt;0,SUM(E$7:E$24)&lt;17),IF(OR(F18=1,F18=2,F18=3),IF(AND(L$25&gt;1,E$27=1),1,F18),IF(AND(F18="",L$25&gt;1,E$27=1),1,VLOOKUP(D18,СГИ!$A$8:$G$27,7,TRUE))),"")</f>
      </c>
      <c r="M18" s="282">
        <f t="shared" si="4"/>
      </c>
      <c r="N18" s="283">
        <f t="shared" si="1"/>
      </c>
      <c r="O18" s="284">
        <f t="shared" si="5"/>
        <v>0</v>
      </c>
      <c r="P18" s="285">
        <f t="shared" si="2"/>
        <v>0</v>
      </c>
      <c r="Q18" s="273">
        <f>IF(SUM($E$7:$E$24)&gt;8,IF(OR(D18="NO2",D18="HCl"),"--",VLOOKUP(D18,СГИ!$A$8:$G$27,4,TRUE)+VLOOKUP(D18,СГИ!$A$8:$G$27,2,TRUE)),VLOOKUP(D18,СГИ!$A$8:$G$27,4,TRUE))</f>
        <v>9940</v>
      </c>
      <c r="R18" s="274">
        <f>IF(O18&gt;0,VLOOKUP(S18,СГИ!$A$8:$G$27,6,TRUE),"")</f>
      </c>
      <c r="S18" s="274">
        <f t="shared" si="0"/>
      </c>
      <c r="T18" s="276">
        <f t="shared" si="6"/>
      </c>
      <c r="U18" s="277">
        <f>IF(IF(ISNA(INDEX(СГИ!$P$3:$AI$22,VLOOKUP($T18,СГИ!$N$3:$O$22,2),HLOOKUP(U$6,СГИ!$P$1:$AI$2,2))),"",INDEX(СГИ!$P$3:$AI$22,VLOOKUP($T18,СГИ!$N$3:$O$22,2),HLOOKUP(U$6,СГИ!$P$1:$AI$2,2)))=1,CONCATENATE("при измерении ",$T18," ",U$6," не допускается ! "),"")</f>
      </c>
      <c r="V18" s="277">
        <f>IF(IF(ISNA(INDEX(СГИ!$P$3:$AI$22,VLOOKUP($T18,СГИ!$N$3:$O$22,2),HLOOKUP(V$6,СГИ!$P$1:$AI$2,2))),"",INDEX(СГИ!$P$3:$AI$22,VLOOKUP($T18,СГИ!$N$3:$O$22,2),HLOOKUP(V$6,СГИ!$P$1:$AI$2,2)))=1,CONCATENATE("при измерении ",$T18," ",V$6," не допускается ! "),"")</f>
      </c>
      <c r="W18" s="277">
        <f>IF(IF(ISNA(INDEX(СГИ!$P$3:$AI$22,VLOOKUP($T18,СГИ!$N$3:$O$22,2),HLOOKUP(W$6,СГИ!$P$1:$AI$2,2))),"",INDEX(СГИ!$P$3:$AI$22,VLOOKUP($T18,СГИ!$N$3:$O$22,2),HLOOKUP(W$6,СГИ!$P$1:$AI$2,2)))=1,CONCATENATE("при измерении ",$T18," ",W$6," не допускается ! "),"")</f>
      </c>
      <c r="X18" s="277">
        <f>IF(IF(ISNA(INDEX(СГИ!$P$3:$AI$22,VLOOKUP($T18,СГИ!$N$3:$O$22,2),HLOOKUP(X$6,СГИ!$P$1:$AI$2,2))),"",INDEX(СГИ!$P$3:$AI$22,VLOOKUP($T18,СГИ!$N$3:$O$22,2),HLOOKUP(X$6,СГИ!$P$1:$AI$2,2)))=1,CONCATENATE("при измерении ",$T18," ",X$6," не допускается ! "),"")</f>
      </c>
      <c r="Y18" s="277">
        <f>IF(IF(ISNA(INDEX(СГИ!$P$3:$AI$22,VLOOKUP($T18,СГИ!$N$3:$O$22,2),HLOOKUP(Y$6,СГИ!$P$1:$AI$2,2))),"",INDEX(СГИ!$P$3:$AI$22,VLOOKUP($T18,СГИ!$N$3:$O$22,2),HLOOKUP(Y$6,СГИ!$P$1:$AI$2,2)))=1,CONCATENATE("при измерении ",$T18," ",Y$6," не допускается ! "),"")</f>
      </c>
      <c r="Z18" s="277">
        <f>IF(IF(ISNA(INDEX(СГИ!$P$3:$AI$22,VLOOKUP($T18,СГИ!$N$3:$O$22,2),HLOOKUP(Z$6,СГИ!$P$1:$AI$2,2))),"",INDEX(СГИ!$P$3:$AI$22,VLOOKUP($T18,СГИ!$N$3:$O$22,2),HLOOKUP(Z$6,СГИ!$P$1:$AI$2,2)))=1,CONCATENATE("при измерении ",$T18," ",Z$6," не допускается ! "),"")</f>
      </c>
      <c r="AA18" s="277">
        <f>IF(IF(ISNA(INDEX(СГИ!$P$3:$AI$22,VLOOKUP($T18,СГИ!$N$3:$O$22,2),HLOOKUP(AA$6,СГИ!$P$1:$AI$2,2))),"",INDEX(СГИ!$P$3:$AI$22,VLOOKUP($T18,СГИ!$N$3:$O$22,2),HLOOKUP(AA$6,СГИ!$P$1:$AI$2,2)))=1,CONCATENATE("при измерении ",$T18," ",AA$6," не допускается ! "),"")</f>
      </c>
      <c r="AB18" s="277">
        <f>IF(IF(ISNA(INDEX(СГИ!$P$3:$AI$22,VLOOKUP($T18,СГИ!$N$3:$O$22,2),HLOOKUP(AB$6,СГИ!$P$1:$AI$2,2))),"",INDEX(СГИ!$P$3:$AI$22,VLOOKUP($T18,СГИ!$N$3:$O$22,2),HLOOKUP(AB$6,СГИ!$P$1:$AI$2,2)))=1,CONCATENATE("при измерении ",$T18," ",AB$6," не допускается ! "),"")</f>
      </c>
      <c r="AC18" s="277">
        <f>IF(IF(ISNA(INDEX(СГИ!$P$3:$AI$22,VLOOKUP($T18,СГИ!$N$3:$O$22,2),HLOOKUP(AC$6,СГИ!$P$1:$AI$2,2))),"",INDEX(СГИ!$P$3:$AI$22,VLOOKUP($T18,СГИ!$N$3:$O$22,2),HLOOKUP(AC$6,СГИ!$P$1:$AI$2,2)))=1,CONCATENATE("при измерении ",$T18," ",AC$6," не допускается ! "),"")</f>
      </c>
      <c r="AD18" s="277">
        <f>IF(IF(ISNA(INDEX(СГИ!$P$3:$AI$22,VLOOKUP($T18,СГИ!$N$3:$O$22,2),HLOOKUP(AD$6,СГИ!$P$1:$AI$2,2))),"",INDEX(СГИ!$P$3:$AI$22,VLOOKUP($T18,СГИ!$N$3:$O$22,2),HLOOKUP(AD$6,СГИ!$P$1:$AI$2,2)))=1,CONCATENATE("при измерении ",$T18," ",AD$6," не допускается ! "),"")</f>
      </c>
      <c r="AE18" s="277">
        <f>IF(IF(ISNA(INDEX(СГИ!$P$3:$AI$22,VLOOKUP($T18,СГИ!$N$3:$O$22,2),HLOOKUP(AE$6,СГИ!$P$1:$AI$2,2))),"",INDEX(СГИ!$P$3:$AI$22,VLOOKUP($T18,СГИ!$N$3:$O$22,2),HLOOKUP(AE$6,СГИ!$P$1:$AI$2,2)))=1,CONCATENATE("при измерении ",$T18," ",AE$6," не допускается ! "),"")</f>
      </c>
      <c r="AF18" s="277">
        <f>IF(IF(ISNA(INDEX(СГИ!$P$3:$AI$22,VLOOKUP($T18,СГИ!$N$3:$O$22,2),HLOOKUP(AF$6,СГИ!$P$1:$AI$2,2))),"",INDEX(СГИ!$P$3:$AI$22,VLOOKUP($T18,СГИ!$N$3:$O$22,2),HLOOKUP(AF$6,СГИ!$P$1:$AI$2,2)))=1,CONCATENATE("при измерении ",$T18," ",AF$6," не допускается ! "),"")</f>
      </c>
      <c r="AG18" s="277">
        <f>IF(IF(ISNA(INDEX(СГИ!$P$3:$AI$22,VLOOKUP($T18,СГИ!$N$3:$O$22,2),HLOOKUP(AG$6,СГИ!$P$1:$AI$2,2))),"",INDEX(СГИ!$P$3:$AI$22,VLOOKUP($T18,СГИ!$N$3:$O$22,2),HLOOKUP(AG$6,СГИ!$P$1:$AI$2,2)))=1,CONCATENATE("при измерении ",$T18," ",AG$6," не допускается ! "),"")</f>
      </c>
      <c r="AH18" s="277">
        <f>IF(IF(ISNA(INDEX(СГИ!$P$3:$AI$22,VLOOKUP($T18,СГИ!$N$3:$O$22,2),HLOOKUP(AH$6,СГИ!$P$1:$AI$2,2))),"",INDEX(СГИ!$P$3:$AI$22,VLOOKUP($T18,СГИ!$N$3:$O$22,2),HLOOKUP(AH$6,СГИ!$P$1:$AI$2,2)))=1,CONCATENATE("при измерении ",$T18," ",AH$6," не допускается ! "),"")</f>
      </c>
      <c r="AI18" s="277">
        <f>IF(IF(ISNA(INDEX(СГИ!$P$3:$AI$22,VLOOKUP($T18,СГИ!$N$3:$O$22,2),HLOOKUP(AI$6,СГИ!$P$1:$AI$2,2))),"",INDEX(СГИ!$P$3:$AI$22,VLOOKUP($T18,СГИ!$N$3:$O$22,2),HLOOKUP(AI$6,СГИ!$P$1:$AI$2,2)))=1,CONCATENATE("при измерении ",$T18," ",AI$6," не допускается ! "),"")</f>
      </c>
      <c r="AJ18" s="277">
        <f>IF(IF(ISNA(INDEX(СГИ!$P$3:$AI$22,VLOOKUP($T18,СГИ!$N$3:$O$22,2),HLOOKUP(AJ$6,СГИ!$P$1:$AI$2,2))),"",INDEX(СГИ!$P$3:$AI$22,VLOOKUP($T18,СГИ!$N$3:$O$22,2),HLOOKUP(AJ$6,СГИ!$P$1:$AI$2,2)))=1,CONCATENATE("при измерении ",$T18," ",AJ$6," не допускается ! "),"")</f>
      </c>
      <c r="AK18" s="277">
        <f>IF(IF(ISNA(INDEX(СГИ!$P$3:$AI$22,VLOOKUP($T18,СГИ!$N$3:$O$22,2),HLOOKUP(AK$6,СГИ!$P$1:$AI$2,2))),"",INDEX(СГИ!$P$3:$AI$22,VLOOKUP($T18,СГИ!$N$3:$O$22,2),HLOOKUP(AK$6,СГИ!$P$1:$AI$2,2)))=1,CONCATENATE("при измерении ",$T18," ",AK$6," не допускается ! "),"")</f>
      </c>
      <c r="AL18" s="277">
        <f>IF(IF(ISNA(INDEX(СГИ!$P$3:$AI$22,VLOOKUP($T18,СГИ!$N$3:$O$22,2),HLOOKUP(AL$6,СГИ!$P$1:$AI$2,2))),"",INDEX(СГИ!$P$3:$AI$22,VLOOKUP($T18,СГИ!$N$3:$O$22,2),HLOOKUP(AL$6,СГИ!$P$1:$AI$2,2)))=1,CONCATENATE("при измерении ",$T18," ",AL$6," не допускается ! "),"")</f>
      </c>
      <c r="AM18">
        <f t="shared" si="3"/>
      </c>
    </row>
    <row r="19" spans="2:39" ht="15.75" customHeight="1">
      <c r="B19" s="294"/>
      <c r="C19" s="294"/>
      <c r="D19" s="279" t="s">
        <v>398</v>
      </c>
      <c r="E19" s="297"/>
      <c r="F19" s="297"/>
      <c r="G19" s="297"/>
      <c r="H19" s="298" t="s">
        <v>399</v>
      </c>
      <c r="J19" s="853" t="s">
        <v>400</v>
      </c>
      <c r="K19" s="864" t="str">
        <f>IF(OR(K14="проверьте ввод данных",K14=0),"--",ROUND(K14*0.975,-1)*(1+СГИ!$B$1))</f>
        <v>--</v>
      </c>
      <c r="L19" s="282">
        <f>IF(AND(E19&gt;0,SUM(E$7:E$24)&lt;17),IF(OR(F19=1,F19=2,F19=3),IF(AND(L$25&gt;1,E$27=1),1,F19),IF(AND(F19="",L$25&gt;1,E$27=1),1,VLOOKUP(D19,СГИ!$A$8:$G$27,7,TRUE))),"")</f>
      </c>
      <c r="M19" s="282">
        <f t="shared" si="4"/>
      </c>
      <c r="N19" s="299">
        <f t="shared" si="1"/>
      </c>
      <c r="O19" s="300">
        <f t="shared" si="5"/>
        <v>0</v>
      </c>
      <c r="P19" s="285">
        <f t="shared" si="2"/>
        <v>0</v>
      </c>
      <c r="Q19" s="273">
        <f>IF(SUM($E$7:$E$24)&gt;8,IF(OR(D19="NO2",D19="HCl"),"--",VLOOKUP(D19,СГИ!$A$8:$G$27,4,TRUE)+VLOOKUP(D19,СГИ!$A$8:$G$27,2,TRUE)),VLOOKUP(D19,СГИ!$A$8:$G$27,4,TRUE))</f>
        <v>0</v>
      </c>
      <c r="R19" s="274">
        <f>IF(O19&gt;0,VLOOKUP(S19,СГИ!$A$8:$G$27,6,TRUE),"")</f>
      </c>
      <c r="S19" s="274">
        <f t="shared" si="0"/>
      </c>
      <c r="T19" s="276">
        <f t="shared" si="6"/>
      </c>
      <c r="U19" s="277">
        <f>IF(IF(ISNA(INDEX(СГИ!$P$3:$AI$22,VLOOKUP($T19,СГИ!$N$3:$O$22,2),HLOOKUP(U$6,СГИ!$P$1:$AI$2,2))),"",INDEX(СГИ!$P$3:$AI$22,VLOOKUP($T19,СГИ!$N$3:$O$22,2),HLOOKUP(U$6,СГИ!$P$1:$AI$2,2)))=1,CONCATENATE("при измерении ",$T19," ",U$6," не допускается ! "),"")</f>
      </c>
      <c r="V19" s="277">
        <f>IF(IF(ISNA(INDEX(СГИ!$P$3:$AI$22,VLOOKUP($T19,СГИ!$N$3:$O$22,2),HLOOKUP(V$6,СГИ!$P$1:$AI$2,2))),"",INDEX(СГИ!$P$3:$AI$22,VLOOKUP($T19,СГИ!$N$3:$O$22,2),HLOOKUP(V$6,СГИ!$P$1:$AI$2,2)))=1,CONCATENATE("при измерении ",$T19," ",V$6," не допускается ! "),"")</f>
      </c>
      <c r="W19" s="277">
        <f>IF(IF(ISNA(INDEX(СГИ!$P$3:$AI$22,VLOOKUP($T19,СГИ!$N$3:$O$22,2),HLOOKUP(W$6,СГИ!$P$1:$AI$2,2))),"",INDEX(СГИ!$P$3:$AI$22,VLOOKUP($T19,СГИ!$N$3:$O$22,2),HLOOKUP(W$6,СГИ!$P$1:$AI$2,2)))=1,CONCATENATE("при измерении ",$T19," ",W$6," не допускается ! "),"")</f>
      </c>
      <c r="X19" s="277">
        <f>IF(IF(ISNA(INDEX(СГИ!$P$3:$AI$22,VLOOKUP($T19,СГИ!$N$3:$O$22,2),HLOOKUP(X$6,СГИ!$P$1:$AI$2,2))),"",INDEX(СГИ!$P$3:$AI$22,VLOOKUP($T19,СГИ!$N$3:$O$22,2),HLOOKUP(X$6,СГИ!$P$1:$AI$2,2)))=1,CONCATENATE("при измерении ",$T19," ",X$6," не допускается ! "),"")</f>
      </c>
      <c r="Y19" s="277">
        <f>IF(IF(ISNA(INDEX(СГИ!$P$3:$AI$22,VLOOKUP($T19,СГИ!$N$3:$O$22,2),HLOOKUP(Y$6,СГИ!$P$1:$AI$2,2))),"",INDEX(СГИ!$P$3:$AI$22,VLOOKUP($T19,СГИ!$N$3:$O$22,2),HLOOKUP(Y$6,СГИ!$P$1:$AI$2,2)))=1,CONCATENATE("при измерении ",$T19," ",Y$6," не допускается ! "),"")</f>
      </c>
      <c r="Z19" s="277">
        <f>IF(IF(ISNA(INDEX(СГИ!$P$3:$AI$22,VLOOKUP($T19,СГИ!$N$3:$O$22,2),HLOOKUP(Z$6,СГИ!$P$1:$AI$2,2))),"",INDEX(СГИ!$P$3:$AI$22,VLOOKUP($T19,СГИ!$N$3:$O$22,2),HLOOKUP(Z$6,СГИ!$P$1:$AI$2,2)))=1,CONCATENATE("при измерении ",$T19," ",Z$6," не допускается ! "),"")</f>
      </c>
      <c r="AA19" s="277">
        <f>IF(IF(ISNA(INDEX(СГИ!$P$3:$AI$22,VLOOKUP($T19,СГИ!$N$3:$O$22,2),HLOOKUP(AA$6,СГИ!$P$1:$AI$2,2))),"",INDEX(СГИ!$P$3:$AI$22,VLOOKUP($T19,СГИ!$N$3:$O$22,2),HLOOKUP(AA$6,СГИ!$P$1:$AI$2,2)))=1,CONCATENATE("при измерении ",$T19," ",AA$6," не допускается ! "),"")</f>
      </c>
      <c r="AB19" s="277">
        <f>IF(IF(ISNA(INDEX(СГИ!$P$3:$AI$22,VLOOKUP($T19,СГИ!$N$3:$O$22,2),HLOOKUP(AB$6,СГИ!$P$1:$AI$2,2))),"",INDEX(СГИ!$P$3:$AI$22,VLOOKUP($T19,СГИ!$N$3:$O$22,2),HLOOKUP(AB$6,СГИ!$P$1:$AI$2,2)))=1,CONCATENATE("при измерении ",$T19," ",AB$6," не допускается ! "),"")</f>
      </c>
      <c r="AC19" s="277">
        <f>IF(IF(ISNA(INDEX(СГИ!$P$3:$AI$22,VLOOKUP($T19,СГИ!$N$3:$O$22,2),HLOOKUP(AC$6,СГИ!$P$1:$AI$2,2))),"",INDEX(СГИ!$P$3:$AI$22,VLOOKUP($T19,СГИ!$N$3:$O$22,2),HLOOKUP(AC$6,СГИ!$P$1:$AI$2,2)))=1,CONCATENATE("при измерении ",$T19," ",AC$6," не допускается ! "),"")</f>
      </c>
      <c r="AD19" s="277">
        <f>IF(IF(ISNA(INDEX(СГИ!$P$3:$AI$22,VLOOKUP($T19,СГИ!$N$3:$O$22,2),HLOOKUP(AD$6,СГИ!$P$1:$AI$2,2))),"",INDEX(СГИ!$P$3:$AI$22,VLOOKUP($T19,СГИ!$N$3:$O$22,2),HLOOKUP(AD$6,СГИ!$P$1:$AI$2,2)))=1,CONCATENATE("при измерении ",$T19," ",AD$6," не допускается ! "),"")</f>
      </c>
      <c r="AE19" s="277">
        <f>IF(IF(ISNA(INDEX(СГИ!$P$3:$AI$22,VLOOKUP($T19,СГИ!$N$3:$O$22,2),HLOOKUP(AE$6,СГИ!$P$1:$AI$2,2))),"",INDEX(СГИ!$P$3:$AI$22,VLOOKUP($T19,СГИ!$N$3:$O$22,2),HLOOKUP(AE$6,СГИ!$P$1:$AI$2,2)))=1,CONCATENATE("при измерении ",$T19," ",AE$6," не допускается ! "),"")</f>
      </c>
      <c r="AF19" s="277">
        <f>IF(IF(ISNA(INDEX(СГИ!$P$3:$AI$22,VLOOKUP($T19,СГИ!$N$3:$O$22,2),HLOOKUP(AF$6,СГИ!$P$1:$AI$2,2))),"",INDEX(СГИ!$P$3:$AI$22,VLOOKUP($T19,СГИ!$N$3:$O$22,2),HLOOKUP(AF$6,СГИ!$P$1:$AI$2,2)))=1,CONCATENATE("при измерении ",$T19," ",AF$6," не допускается ! "),"")</f>
      </c>
      <c r="AG19" s="277">
        <f>IF(IF(ISNA(INDEX(СГИ!$P$3:$AI$22,VLOOKUP($T19,СГИ!$N$3:$O$22,2),HLOOKUP(AG$6,СГИ!$P$1:$AI$2,2))),"",INDEX(СГИ!$P$3:$AI$22,VLOOKUP($T19,СГИ!$N$3:$O$22,2),HLOOKUP(AG$6,СГИ!$P$1:$AI$2,2)))=1,CONCATENATE("при измерении ",$T19," ",AG$6," не допускается ! "),"")</f>
      </c>
      <c r="AH19" s="277">
        <f>IF(IF(ISNA(INDEX(СГИ!$P$3:$AI$22,VLOOKUP($T19,СГИ!$N$3:$O$22,2),HLOOKUP(AH$6,СГИ!$P$1:$AI$2,2))),"",INDEX(СГИ!$P$3:$AI$22,VLOOKUP($T19,СГИ!$N$3:$O$22,2),HLOOKUP(AH$6,СГИ!$P$1:$AI$2,2)))=1,CONCATENATE("при измерении ",$T19," ",AH$6," не допускается ! "),"")</f>
      </c>
      <c r="AI19" s="277">
        <f>IF(IF(ISNA(INDEX(СГИ!$P$3:$AI$22,VLOOKUP($T19,СГИ!$N$3:$O$22,2),HLOOKUP(AI$6,СГИ!$P$1:$AI$2,2))),"",INDEX(СГИ!$P$3:$AI$22,VLOOKUP($T19,СГИ!$N$3:$O$22,2),HLOOKUP(AI$6,СГИ!$P$1:$AI$2,2)))=1,CONCATENATE("при измерении ",$T19," ",AI$6," не допускается ! "),"")</f>
      </c>
      <c r="AJ19" s="277">
        <f>IF(IF(ISNA(INDEX(СГИ!$P$3:$AI$22,VLOOKUP($T19,СГИ!$N$3:$O$22,2),HLOOKUP(AJ$6,СГИ!$P$1:$AI$2,2))),"",INDEX(СГИ!$P$3:$AI$22,VLOOKUP($T19,СГИ!$N$3:$O$22,2),HLOOKUP(AJ$6,СГИ!$P$1:$AI$2,2)))=1,CONCATENATE("при измерении ",$T19," ",AJ$6," не допускается ! "),"")</f>
      </c>
      <c r="AK19" s="277">
        <f>IF(IF(ISNA(INDEX(СГИ!$P$3:$AI$22,VLOOKUP($T19,СГИ!$N$3:$O$22,2),HLOOKUP(AK$6,СГИ!$P$1:$AI$2,2))),"",INDEX(СГИ!$P$3:$AI$22,VLOOKUP($T19,СГИ!$N$3:$O$22,2),HLOOKUP(AK$6,СГИ!$P$1:$AI$2,2)))=1,CONCATENATE("при измерении ",$T19," ",AK$6," не допускается ! "),"")</f>
      </c>
      <c r="AL19" s="277">
        <f>IF(IF(ISNA(INDEX(СГИ!$P$3:$AI$22,VLOOKUP($T19,СГИ!$N$3:$O$22,2),HLOOKUP(AL$6,СГИ!$P$1:$AI$2,2))),"",INDEX(СГИ!$P$3:$AI$22,VLOOKUP($T19,СГИ!$N$3:$O$22,2),HLOOKUP(AL$6,СГИ!$P$1:$AI$2,2)))=1,CONCATENATE("при измерении ",$T19," ",AL$6," не допускается ! "),"")</f>
      </c>
      <c r="AM19">
        <f t="shared" si="3"/>
      </c>
    </row>
    <row r="20" spans="2:39" ht="12" customHeight="1">
      <c r="B20" s="294"/>
      <c r="C20" s="294"/>
      <c r="D20" s="279" t="s">
        <v>48</v>
      </c>
      <c r="E20" s="297"/>
      <c r="F20" s="297"/>
      <c r="G20" s="297"/>
      <c r="H20" s="298" t="s">
        <v>399</v>
      </c>
      <c r="J20" s="853" t="s">
        <v>401</v>
      </c>
      <c r="K20" s="871" t="str">
        <f>IF(OR(K14="проверьте ввод данных",K14=0),"--",ROUND(K14*0.95,-1)*(1+СГИ!$B$1))</f>
        <v>--</v>
      </c>
      <c r="L20" s="282">
        <f>IF(AND(E20&gt;0,SUM(E$7:E$24)&lt;17),IF(OR(F20=1,F20=2,F20=3),IF(AND(L$25&gt;1,E$27=1),1,F20),IF(AND(F20="",L$25&gt;1,E$27=1),1,VLOOKUP(D20,СГИ!$A$8:$G$27,7,TRUE))),"")</f>
      </c>
      <c r="M20" s="282">
        <f t="shared" si="4"/>
      </c>
      <c r="N20" s="299">
        <f t="shared" si="1"/>
      </c>
      <c r="O20" s="300">
        <f t="shared" si="5"/>
        <v>0</v>
      </c>
      <c r="P20" s="285">
        <f t="shared" si="2"/>
        <v>0</v>
      </c>
      <c r="Q20" s="273">
        <f>IF(SUM($E$7:$E$24)&gt;8,IF(OR(D20="NO2",D20="HCl"),"--",VLOOKUP(D20,СГИ!$A$8:$G$27,4,TRUE)+VLOOKUP(D20,СГИ!$A$8:$G$27,2,TRUE)),VLOOKUP(D20,СГИ!$A$8:$G$27,4,TRUE))</f>
        <v>0</v>
      </c>
      <c r="R20" s="274">
        <f>IF(O20&gt;0,VLOOKUP(S20,СГИ!$A$8:$G$27,6,TRUE),"")</f>
      </c>
      <c r="S20" s="274">
        <f t="shared" si="0"/>
      </c>
      <c r="T20" s="276">
        <f t="shared" si="6"/>
      </c>
      <c r="U20" s="277">
        <f>IF(IF(ISNA(INDEX(СГИ!$P$3:$AI$22,VLOOKUP($T20,СГИ!$N$3:$O$22,2),HLOOKUP(U$6,СГИ!$P$1:$AI$2,2))),"",INDEX(СГИ!$P$3:$AI$22,VLOOKUP($T20,СГИ!$N$3:$O$22,2),HLOOKUP(U$6,СГИ!$P$1:$AI$2,2)))=1,CONCATENATE("при измерении ",$T20," ",U$6," не допускается ! "),"")</f>
      </c>
      <c r="V20" s="277">
        <f>IF(IF(ISNA(INDEX(СГИ!$P$3:$AI$22,VLOOKUP($T20,СГИ!$N$3:$O$22,2),HLOOKUP(V$6,СГИ!$P$1:$AI$2,2))),"",INDEX(СГИ!$P$3:$AI$22,VLOOKUP($T20,СГИ!$N$3:$O$22,2),HLOOKUP(V$6,СГИ!$P$1:$AI$2,2)))=1,CONCATENATE("при измерении ",$T20," ",V$6," не допускается ! "),"")</f>
      </c>
      <c r="W20" s="277">
        <f>IF(IF(ISNA(INDEX(СГИ!$P$3:$AI$22,VLOOKUP($T20,СГИ!$N$3:$O$22,2),HLOOKUP(W$6,СГИ!$P$1:$AI$2,2))),"",INDEX(СГИ!$P$3:$AI$22,VLOOKUP($T20,СГИ!$N$3:$O$22,2),HLOOKUP(W$6,СГИ!$P$1:$AI$2,2)))=1,CONCATENATE("при измерении ",$T20," ",W$6," не допускается ! "),"")</f>
      </c>
      <c r="X20" s="277">
        <f>IF(IF(ISNA(INDEX(СГИ!$P$3:$AI$22,VLOOKUP($T20,СГИ!$N$3:$O$22,2),HLOOKUP(X$6,СГИ!$P$1:$AI$2,2))),"",INDEX(СГИ!$P$3:$AI$22,VLOOKUP($T20,СГИ!$N$3:$O$22,2),HLOOKUP(X$6,СГИ!$P$1:$AI$2,2)))=1,CONCATENATE("при измерении ",$T20," ",X$6," не допускается ! "),"")</f>
      </c>
      <c r="Y20" s="277">
        <f>IF(IF(ISNA(INDEX(СГИ!$P$3:$AI$22,VLOOKUP($T20,СГИ!$N$3:$O$22,2),HLOOKUP(Y$6,СГИ!$P$1:$AI$2,2))),"",INDEX(СГИ!$P$3:$AI$22,VLOOKUP($T20,СГИ!$N$3:$O$22,2),HLOOKUP(Y$6,СГИ!$P$1:$AI$2,2)))=1,CONCATENATE("при измерении ",$T20," ",Y$6," не допускается ! "),"")</f>
      </c>
      <c r="Z20" s="277">
        <f>IF(IF(ISNA(INDEX(СГИ!$P$3:$AI$22,VLOOKUP($T20,СГИ!$N$3:$O$22,2),HLOOKUP(Z$6,СГИ!$P$1:$AI$2,2))),"",INDEX(СГИ!$P$3:$AI$22,VLOOKUP($T20,СГИ!$N$3:$O$22,2),HLOOKUP(Z$6,СГИ!$P$1:$AI$2,2)))=1,CONCATENATE("при измерении ",$T20," ",Z$6," не допускается ! "),"")</f>
      </c>
      <c r="AA20" s="277">
        <f>IF(IF(ISNA(INDEX(СГИ!$P$3:$AI$22,VLOOKUP($T20,СГИ!$N$3:$O$22,2),HLOOKUP(AA$6,СГИ!$P$1:$AI$2,2))),"",INDEX(СГИ!$P$3:$AI$22,VLOOKUP($T20,СГИ!$N$3:$O$22,2),HLOOKUP(AA$6,СГИ!$P$1:$AI$2,2)))=1,CONCATENATE("при измерении ",$T20," ",AA$6," не допускается ! "),"")</f>
      </c>
      <c r="AB20" s="277">
        <f>IF(IF(ISNA(INDEX(СГИ!$P$3:$AI$22,VLOOKUP($T20,СГИ!$N$3:$O$22,2),HLOOKUP(AB$6,СГИ!$P$1:$AI$2,2))),"",INDEX(СГИ!$P$3:$AI$22,VLOOKUP($T20,СГИ!$N$3:$O$22,2),HLOOKUP(AB$6,СГИ!$P$1:$AI$2,2)))=1,CONCATENATE("при измерении ",$T20," ",AB$6," не допускается ! "),"")</f>
      </c>
      <c r="AC20" s="277">
        <f>IF(IF(ISNA(INDEX(СГИ!$P$3:$AI$22,VLOOKUP($T20,СГИ!$N$3:$O$22,2),HLOOKUP(AC$6,СГИ!$P$1:$AI$2,2))),"",INDEX(СГИ!$P$3:$AI$22,VLOOKUP($T20,СГИ!$N$3:$O$22,2),HLOOKUP(AC$6,СГИ!$P$1:$AI$2,2)))=1,CONCATENATE("при измерении ",$T20," ",AC$6," не допускается ! "),"")</f>
      </c>
      <c r="AD20" s="277">
        <f>IF(IF(ISNA(INDEX(СГИ!$P$3:$AI$22,VLOOKUP($T20,СГИ!$N$3:$O$22,2),HLOOKUP(AD$6,СГИ!$P$1:$AI$2,2))),"",INDEX(СГИ!$P$3:$AI$22,VLOOKUP($T20,СГИ!$N$3:$O$22,2),HLOOKUP(AD$6,СГИ!$P$1:$AI$2,2)))=1,CONCATENATE("при измерении ",$T20," ",AD$6," не допускается ! "),"")</f>
      </c>
      <c r="AE20" s="277">
        <f>IF(IF(ISNA(INDEX(СГИ!$P$3:$AI$22,VLOOKUP($T20,СГИ!$N$3:$O$22,2),HLOOKUP(AE$6,СГИ!$P$1:$AI$2,2))),"",INDEX(СГИ!$P$3:$AI$22,VLOOKUP($T20,СГИ!$N$3:$O$22,2),HLOOKUP(AE$6,СГИ!$P$1:$AI$2,2)))=1,CONCATENATE("при измерении ",$T20," ",AE$6," не допускается ! "),"")</f>
      </c>
      <c r="AF20" s="277">
        <f>IF(IF(ISNA(INDEX(СГИ!$P$3:$AI$22,VLOOKUP($T20,СГИ!$N$3:$O$22,2),HLOOKUP(AF$6,СГИ!$P$1:$AI$2,2))),"",INDEX(СГИ!$P$3:$AI$22,VLOOKUP($T20,СГИ!$N$3:$O$22,2),HLOOKUP(AF$6,СГИ!$P$1:$AI$2,2)))=1,CONCATENATE("при измерении ",$T20," ",AF$6," не допускается ! "),"")</f>
      </c>
      <c r="AG20" s="277">
        <f>IF(IF(ISNA(INDEX(СГИ!$P$3:$AI$22,VLOOKUP($T20,СГИ!$N$3:$O$22,2),HLOOKUP(AG$6,СГИ!$P$1:$AI$2,2))),"",INDEX(СГИ!$P$3:$AI$22,VLOOKUP($T20,СГИ!$N$3:$O$22,2),HLOOKUP(AG$6,СГИ!$P$1:$AI$2,2)))=1,CONCATENATE("при измерении ",$T20," ",AG$6," не допускается ! "),"")</f>
      </c>
      <c r="AH20" s="277">
        <f>IF(IF(ISNA(INDEX(СГИ!$P$3:$AI$22,VLOOKUP($T20,СГИ!$N$3:$O$22,2),HLOOKUP(AH$6,СГИ!$P$1:$AI$2,2))),"",INDEX(СГИ!$P$3:$AI$22,VLOOKUP($T20,СГИ!$N$3:$O$22,2),HLOOKUP(AH$6,СГИ!$P$1:$AI$2,2)))=1,CONCATENATE("при измерении ",$T20," ",AH$6," не допускается ! "),"")</f>
      </c>
      <c r="AI20" s="277">
        <f>IF(IF(ISNA(INDEX(СГИ!$P$3:$AI$22,VLOOKUP($T20,СГИ!$N$3:$O$22,2),HLOOKUP(AI$6,СГИ!$P$1:$AI$2,2))),"",INDEX(СГИ!$P$3:$AI$22,VLOOKUP($T20,СГИ!$N$3:$O$22,2),HLOOKUP(AI$6,СГИ!$P$1:$AI$2,2)))=1,CONCATENATE("при измерении ",$T20," ",AI$6," не допускается ! "),"")</f>
      </c>
      <c r="AJ20" s="277">
        <f>IF(IF(ISNA(INDEX(СГИ!$P$3:$AI$22,VLOOKUP($T20,СГИ!$N$3:$O$22,2),HLOOKUP(AJ$6,СГИ!$P$1:$AI$2,2))),"",INDEX(СГИ!$P$3:$AI$22,VLOOKUP($T20,СГИ!$N$3:$O$22,2),HLOOKUP(AJ$6,СГИ!$P$1:$AI$2,2)))=1,CONCATENATE("при измерении ",$T20," ",AJ$6," не допускается ! "),"")</f>
      </c>
      <c r="AK20" s="277">
        <f>IF(IF(ISNA(INDEX(СГИ!$P$3:$AI$22,VLOOKUP($T20,СГИ!$N$3:$O$22,2),HLOOKUP(AK$6,СГИ!$P$1:$AI$2,2))),"",INDEX(СГИ!$P$3:$AI$22,VLOOKUP($T20,СГИ!$N$3:$O$22,2),HLOOKUP(AK$6,СГИ!$P$1:$AI$2,2)))=1,CONCATENATE("при измерении ",$T20," ",AK$6," не допускается ! "),"")</f>
      </c>
      <c r="AL20" s="277">
        <f>IF(IF(ISNA(INDEX(СГИ!$P$3:$AI$22,VLOOKUP($T20,СГИ!$N$3:$O$22,2),HLOOKUP(AL$6,СГИ!$P$1:$AI$2,2))),"",INDEX(СГИ!$P$3:$AI$22,VLOOKUP($T20,СГИ!$N$3:$O$22,2),HLOOKUP(AL$6,СГИ!$P$1:$AI$2,2)))=1,CONCATENATE("при измерении ",$T20," ",AL$6," не допускается ! "),"")</f>
      </c>
      <c r="AM20">
        <f t="shared" si="3"/>
      </c>
    </row>
    <row r="21" spans="2:39" ht="14.25" customHeight="1">
      <c r="B21" s="294"/>
      <c r="C21" s="294"/>
      <c r="D21" s="301" t="s">
        <v>569</v>
      </c>
      <c r="E21" s="302"/>
      <c r="F21" s="302"/>
      <c r="G21" s="302"/>
      <c r="H21" s="303" t="s">
        <v>403</v>
      </c>
      <c r="I21" s="304"/>
      <c r="J21" s="867"/>
      <c r="K21" s="868"/>
      <c r="L21" s="282">
        <f>IF(AND(E21&gt;0,SUM(E$7:E$24)&lt;17),IF(OR(F21=1,F21=2,F21=3),IF(AND(L$25&gt;1,E$27=1),1,F21),IF(AND(F21="",L$25&gt;1,E$27=1),1,VLOOKUP(D21,СГИ!$A$8:$G$27,7,TRUE))),"")</f>
      </c>
      <c r="M21" s="282">
        <f t="shared" si="4"/>
      </c>
      <c r="N21" s="283">
        <f t="shared" si="1"/>
      </c>
      <c r="O21" s="284">
        <f t="shared" si="5"/>
        <v>0</v>
      </c>
      <c r="P21" s="285">
        <f t="shared" si="2"/>
        <v>0</v>
      </c>
      <c r="Q21" s="273">
        <f>IF(SUM($E$7:$E$24)&gt;8,IF(OR(D21="NO2",D21="HCl"),"--",VLOOKUP(D21,СГИ!$A$8:$G$27,4,TRUE)+VLOOKUP(D21,СГИ!$A$8:$G$27,2,TRUE)),VLOOKUP(D21,СГИ!$A$8:$G$27,4,TRUE))</f>
        <v>9720</v>
      </c>
      <c r="R21" s="274">
        <f>IF(O21&gt;0,VLOOKUP(S21,СГИ!$A$8:$G$27,6,TRUE),"")</f>
      </c>
      <c r="S21" s="274">
        <f t="shared" si="0"/>
      </c>
      <c r="T21" s="276">
        <f>IF(S21="","","O3")</f>
      </c>
      <c r="U21" s="277">
        <f>IF(IF(ISNA(INDEX(СГИ!$P$3:$AI$22,VLOOKUP($T21,СГИ!$N$3:$O$22,2),HLOOKUP(U$6,СГИ!$P$1:$AI$2,2))),"",INDEX(СГИ!$P$3:$AI$22,VLOOKUP($T21,СГИ!$N$3:$O$22,2),HLOOKUP(U$6,СГИ!$P$1:$AI$2,2)))=1,CONCATENATE("при измерении ",$T21," ",U$6," не допускается ! "),"")</f>
      </c>
      <c r="V21" s="277">
        <f>IF(IF(ISNA(INDEX(СГИ!$P$3:$AI$22,VLOOKUP($T21,СГИ!$N$3:$O$22,2),HLOOKUP(V$6,СГИ!$P$1:$AI$2,2))),"",INDEX(СГИ!$P$3:$AI$22,VLOOKUP($T21,СГИ!$N$3:$O$22,2),HLOOKUP(V$6,СГИ!$P$1:$AI$2,2)))=1,CONCATENATE("при измерении ",$T21," ",V$6," не допускается ! "),"")</f>
      </c>
      <c r="W21" s="277">
        <f>IF(IF(ISNA(INDEX(СГИ!$P$3:$AI$22,VLOOKUP($T21,СГИ!$N$3:$O$22,2),HLOOKUP(W$6,СГИ!$P$1:$AI$2,2))),"",INDEX(СГИ!$P$3:$AI$22,VLOOKUP($T21,СГИ!$N$3:$O$22,2),HLOOKUP(W$6,СГИ!$P$1:$AI$2,2)))=1,CONCATENATE("при измерении ",$T21," ",W$6," не допускается ! "),"")</f>
      </c>
      <c r="X21" s="277">
        <f>IF(IF(ISNA(INDEX(СГИ!$P$3:$AI$22,VLOOKUP($T21,СГИ!$N$3:$O$22,2),HLOOKUP(X$6,СГИ!$P$1:$AI$2,2))),"",INDEX(СГИ!$P$3:$AI$22,VLOOKUP($T21,СГИ!$N$3:$O$22,2),HLOOKUP(X$6,СГИ!$P$1:$AI$2,2)))=1,CONCATENATE("при измерении ",$T21," ",X$6," не допускается ! "),"")</f>
      </c>
      <c r="Y21" s="277">
        <f>IF(IF(ISNA(INDEX(СГИ!$P$3:$AI$22,VLOOKUP($T21,СГИ!$N$3:$O$22,2),HLOOKUP(Y$6,СГИ!$P$1:$AI$2,2))),"",INDEX(СГИ!$P$3:$AI$22,VLOOKUP($T21,СГИ!$N$3:$O$22,2),HLOOKUP(Y$6,СГИ!$P$1:$AI$2,2)))=1,CONCATENATE("при измерении ",$T21," ",Y$6," не допускается ! "),"")</f>
      </c>
      <c r="Z21" s="277">
        <f>IF(IF(ISNA(INDEX(СГИ!$P$3:$AI$22,VLOOKUP($T21,СГИ!$N$3:$O$22,2),HLOOKUP(Z$6,СГИ!$P$1:$AI$2,2))),"",INDEX(СГИ!$P$3:$AI$22,VLOOKUP($T21,СГИ!$N$3:$O$22,2),HLOOKUP(Z$6,СГИ!$P$1:$AI$2,2)))=1,CONCATENATE("при измерении ",$T21," ",Z$6," не допускается ! "),"")</f>
      </c>
      <c r="AA21" s="277">
        <f>IF(IF(ISNA(INDEX(СГИ!$P$3:$AI$22,VLOOKUP($T21,СГИ!$N$3:$O$22,2),HLOOKUP(AA$6,СГИ!$P$1:$AI$2,2))),"",INDEX(СГИ!$P$3:$AI$22,VLOOKUP($T21,СГИ!$N$3:$O$22,2),HLOOKUP(AA$6,СГИ!$P$1:$AI$2,2)))=1,CONCATENATE("при измерении ",$T21," ",AA$6," не допускается ! "),"")</f>
      </c>
      <c r="AB21" s="277">
        <f>IF(IF(ISNA(INDEX(СГИ!$P$3:$AI$22,VLOOKUP($T21,СГИ!$N$3:$O$22,2),HLOOKUP(AB$6,СГИ!$P$1:$AI$2,2))),"",INDEX(СГИ!$P$3:$AI$22,VLOOKUP($T21,СГИ!$N$3:$O$22,2),HLOOKUP(AB$6,СГИ!$P$1:$AI$2,2)))=1,CONCATENATE("при измерении ",$T21," ",AB$6," не допускается ! "),"")</f>
      </c>
      <c r="AC21" s="277">
        <f>IF(IF(ISNA(INDEX(СГИ!$P$3:$AI$22,VLOOKUP($T21,СГИ!$N$3:$O$22,2),HLOOKUP(AC$6,СГИ!$P$1:$AI$2,2))),"",INDEX(СГИ!$P$3:$AI$22,VLOOKUP($T21,СГИ!$N$3:$O$22,2),HLOOKUP(AC$6,СГИ!$P$1:$AI$2,2)))=1,CONCATENATE("при измерении ",$T21," ",AC$6," не допускается ! "),"")</f>
      </c>
      <c r="AD21" s="277">
        <f>IF(IF(ISNA(INDEX(СГИ!$P$3:$AI$22,VLOOKUP($T21,СГИ!$N$3:$O$22,2),HLOOKUP(AD$6,СГИ!$P$1:$AI$2,2))),"",INDEX(СГИ!$P$3:$AI$22,VLOOKUP($T21,СГИ!$N$3:$O$22,2),HLOOKUP(AD$6,СГИ!$P$1:$AI$2,2)))=1,CONCATENATE("при измерении ",$T21," ",AD$6," не допускается ! "),"")</f>
      </c>
      <c r="AE21" s="277">
        <f>IF(IF(ISNA(INDEX(СГИ!$P$3:$AI$22,VLOOKUP($T21,СГИ!$N$3:$O$22,2),HLOOKUP(AE$6,СГИ!$P$1:$AI$2,2))),"",INDEX(СГИ!$P$3:$AI$22,VLOOKUP($T21,СГИ!$N$3:$O$22,2),HLOOKUP(AE$6,СГИ!$P$1:$AI$2,2)))=1,CONCATENATE("при измерении ",$T21," ",AE$6," не допускается ! "),"")</f>
      </c>
      <c r="AF21" s="277">
        <f>IF(IF(ISNA(INDEX(СГИ!$P$3:$AI$22,VLOOKUP($T21,СГИ!$N$3:$O$22,2),HLOOKUP(AF$6,СГИ!$P$1:$AI$2,2))),"",INDEX(СГИ!$P$3:$AI$22,VLOOKUP($T21,СГИ!$N$3:$O$22,2),HLOOKUP(AF$6,СГИ!$P$1:$AI$2,2)))=1,CONCATENATE("при измерении ",$T21," ",AF$6," не допускается ! "),"")</f>
      </c>
      <c r="AG21" s="277">
        <f>IF(IF(ISNA(INDEX(СГИ!$P$3:$AI$22,VLOOKUP($T21,СГИ!$N$3:$O$22,2),HLOOKUP(AG$6,СГИ!$P$1:$AI$2,2))),"",INDEX(СГИ!$P$3:$AI$22,VLOOKUP($T21,СГИ!$N$3:$O$22,2),HLOOKUP(AG$6,СГИ!$P$1:$AI$2,2)))=1,CONCATENATE("при измерении ",$T21," ",AG$6," не допускается ! "),"")</f>
      </c>
      <c r="AH21" s="277">
        <f>IF(IF(ISNA(INDEX(СГИ!$P$3:$AI$22,VLOOKUP($T21,СГИ!$N$3:$O$22,2),HLOOKUP(AH$6,СГИ!$P$1:$AI$2,2))),"",INDEX(СГИ!$P$3:$AI$22,VLOOKUP($T21,СГИ!$N$3:$O$22,2),HLOOKUP(AH$6,СГИ!$P$1:$AI$2,2)))=1,CONCATENATE("при измерении ",$T21," ",AH$6," не допускается ! "),"")</f>
      </c>
      <c r="AI21" s="277">
        <f>IF(IF(ISNA(INDEX(СГИ!$P$3:$AI$22,VLOOKUP($T21,СГИ!$N$3:$O$22,2),HLOOKUP(AI$6,СГИ!$P$1:$AI$2,2))),"",INDEX(СГИ!$P$3:$AI$22,VLOOKUP($T21,СГИ!$N$3:$O$22,2),HLOOKUP(AI$6,СГИ!$P$1:$AI$2,2)))=1,CONCATENATE("при измерении ",$T21," ",AI$6," не допускается ! "),"")</f>
      </c>
      <c r="AJ21" s="277">
        <f>IF(IF(ISNA(INDEX(СГИ!$P$3:$AI$22,VLOOKUP($T21,СГИ!$N$3:$O$22,2),HLOOKUP(AJ$6,СГИ!$P$1:$AI$2,2))),"",INDEX(СГИ!$P$3:$AI$22,VLOOKUP($T21,СГИ!$N$3:$O$22,2),HLOOKUP(AJ$6,СГИ!$P$1:$AI$2,2)))=1,CONCATENATE("при измерении ",$T21," ",AJ$6," не допускается ! "),"")</f>
      </c>
      <c r="AK21" s="277">
        <f>IF(IF(ISNA(INDEX(СГИ!$P$3:$AI$22,VLOOKUP($T21,СГИ!$N$3:$O$22,2),HLOOKUP(AK$6,СГИ!$P$1:$AI$2,2))),"",INDEX(СГИ!$P$3:$AI$22,VLOOKUP($T21,СГИ!$N$3:$O$22,2),HLOOKUP(AK$6,СГИ!$P$1:$AI$2,2)))=1,CONCATENATE("при измерении ",$T21," ",AK$6," не допускается ! "),"")</f>
      </c>
      <c r="AL21" s="277">
        <f>IF(IF(ISNA(INDEX(СГИ!$P$3:$AI$22,VLOOKUP($T21,СГИ!$N$3:$O$22,2),HLOOKUP(AL$6,СГИ!$P$1:$AI$2,2))),"",INDEX(СГИ!$P$3:$AI$22,VLOOKUP($T21,СГИ!$N$3:$O$22,2),HLOOKUP(AL$6,СГИ!$P$1:$AI$2,2)))=1,CONCATENATE("при измерении ",$T21," ",AL$6," не допускается ! "),"")</f>
      </c>
      <c r="AM21">
        <f t="shared" si="3"/>
      </c>
    </row>
    <row r="22" spans="2:39" ht="15.75" customHeight="1">
      <c r="B22" s="294"/>
      <c r="C22" s="294"/>
      <c r="D22" s="301" t="s">
        <v>570</v>
      </c>
      <c r="E22" s="302"/>
      <c r="F22" s="302"/>
      <c r="G22" s="302"/>
      <c r="H22" s="303" t="s">
        <v>403</v>
      </c>
      <c r="I22" s="304"/>
      <c r="J22" s="872" t="s">
        <v>405</v>
      </c>
      <c r="K22" s="870" t="s">
        <v>406</v>
      </c>
      <c r="L22" s="282">
        <f>IF(AND(E22&gt;0,SUM(E$7:E$24)&lt;17),IF(OR(F22=1,F22=2,F22=3),IF(AND(L$25&gt;1,E$27=1),1,F22),IF(AND(F22="",L$25&gt;1,E$27=1),1,VLOOKUP(D22,СГИ!$A$8:$G$27,7,TRUE))),"")</f>
      </c>
      <c r="M22" s="282">
        <f t="shared" si="4"/>
      </c>
      <c r="N22" s="283">
        <f t="shared" si="1"/>
      </c>
      <c r="O22" s="284">
        <f t="shared" si="5"/>
        <v>0</v>
      </c>
      <c r="P22" s="285">
        <f t="shared" si="2"/>
        <v>0</v>
      </c>
      <c r="Q22" s="273">
        <f>IF(SUM($E$7:$E$24)&gt;8,IF(OR(D22="NO2",D22="HCl"),"--",VLOOKUP(D22,СГИ!$A$8:$G$27,4,TRUE)+VLOOKUP(D22,СГИ!$A$8:$G$27,2,TRUE)),VLOOKUP(D22,СГИ!$A$8:$G$27,4,TRUE))</f>
        <v>15560</v>
      </c>
      <c r="R22" s="274">
        <f>IF(O22&gt;0,VLOOKUP(S22,СГИ!$A$8:$G$27,6,TRUE),"")</f>
      </c>
      <c r="S22" s="274">
        <f t="shared" si="0"/>
      </c>
      <c r="T22" s="276">
        <f>IF(S22="","","F2")</f>
      </c>
      <c r="U22" s="277">
        <f>IF(IF(ISNA(INDEX(СГИ!$P$3:$AI$22,VLOOKUP($T22,СГИ!$N$3:$O$22,2),HLOOKUP(U$6,СГИ!$P$1:$AI$2,2))),"",INDEX(СГИ!$P$3:$AI$22,VLOOKUP($T22,СГИ!$N$3:$O$22,2),HLOOKUP(U$6,СГИ!$P$1:$AI$2,2)))=1,CONCATENATE("при измерении ",$T22," ",U$6," не допускается ! "),"")</f>
      </c>
      <c r="V22" s="277">
        <f>IF(IF(ISNA(INDEX(СГИ!$P$3:$AI$22,VLOOKUP($T22,СГИ!$N$3:$O$22,2),HLOOKUP(V$6,СГИ!$P$1:$AI$2,2))),"",INDEX(СГИ!$P$3:$AI$22,VLOOKUP($T22,СГИ!$N$3:$O$22,2),HLOOKUP(V$6,СГИ!$P$1:$AI$2,2)))=1,CONCATENATE("при измерении ",$T22," ",V$6," не допускается ! "),"")</f>
      </c>
      <c r="W22" s="277">
        <f>IF(IF(ISNA(INDEX(СГИ!$P$3:$AI$22,VLOOKUP($T22,СГИ!$N$3:$O$22,2),HLOOKUP(W$6,СГИ!$P$1:$AI$2,2))),"",INDEX(СГИ!$P$3:$AI$22,VLOOKUP($T22,СГИ!$N$3:$O$22,2),HLOOKUP(W$6,СГИ!$P$1:$AI$2,2)))=1,CONCATENATE("при измерении ",$T22," ",W$6," не допускается ! "),"")</f>
      </c>
      <c r="X22" s="277">
        <f>IF(IF(ISNA(INDEX(СГИ!$P$3:$AI$22,VLOOKUP($T22,СГИ!$N$3:$O$22,2),HLOOKUP(X$6,СГИ!$P$1:$AI$2,2))),"",INDEX(СГИ!$P$3:$AI$22,VLOOKUP($T22,СГИ!$N$3:$O$22,2),HLOOKUP(X$6,СГИ!$P$1:$AI$2,2)))=1,CONCATENATE("при измерении ",$T22," ",X$6," не допускается ! "),"")</f>
      </c>
      <c r="Y22" s="277">
        <f>IF(IF(ISNA(INDEX(СГИ!$P$3:$AI$22,VLOOKUP($T22,СГИ!$N$3:$O$22,2),HLOOKUP(Y$6,СГИ!$P$1:$AI$2,2))),"",INDEX(СГИ!$P$3:$AI$22,VLOOKUP($T22,СГИ!$N$3:$O$22,2),HLOOKUP(Y$6,СГИ!$P$1:$AI$2,2)))=1,CONCATENATE("при измерении ",$T22," ",Y$6," не допускается ! "),"")</f>
      </c>
      <c r="Z22" s="277">
        <f>IF(IF(ISNA(INDEX(СГИ!$P$3:$AI$22,VLOOKUP($T22,СГИ!$N$3:$O$22,2),HLOOKUP(Z$6,СГИ!$P$1:$AI$2,2))),"",INDEX(СГИ!$P$3:$AI$22,VLOOKUP($T22,СГИ!$N$3:$O$22,2),HLOOKUP(Z$6,СГИ!$P$1:$AI$2,2)))=1,CONCATENATE("при измерении ",$T22," ",Z$6," не допускается ! "),"")</f>
      </c>
      <c r="AA22" s="277">
        <f>IF(IF(ISNA(INDEX(СГИ!$P$3:$AI$22,VLOOKUP($T22,СГИ!$N$3:$O$22,2),HLOOKUP(AA$6,СГИ!$P$1:$AI$2,2))),"",INDEX(СГИ!$P$3:$AI$22,VLOOKUP($T22,СГИ!$N$3:$O$22,2),HLOOKUP(AA$6,СГИ!$P$1:$AI$2,2)))=1,CONCATENATE("при измерении ",$T22," ",AA$6," не допускается ! "),"")</f>
      </c>
      <c r="AB22" s="277">
        <f>IF(IF(ISNA(INDEX(СГИ!$P$3:$AI$22,VLOOKUP($T22,СГИ!$N$3:$O$22,2),HLOOKUP(AB$6,СГИ!$P$1:$AI$2,2))),"",INDEX(СГИ!$P$3:$AI$22,VLOOKUP($T22,СГИ!$N$3:$O$22,2),HLOOKUP(AB$6,СГИ!$P$1:$AI$2,2)))=1,CONCATENATE("при измерении ",$T22," ",AB$6," не допускается ! "),"")</f>
      </c>
      <c r="AC22" s="277">
        <f>IF(IF(ISNA(INDEX(СГИ!$P$3:$AI$22,VLOOKUP($T22,СГИ!$N$3:$O$22,2),HLOOKUP(AC$6,СГИ!$P$1:$AI$2,2))),"",INDEX(СГИ!$P$3:$AI$22,VLOOKUP($T22,СГИ!$N$3:$O$22,2),HLOOKUP(AC$6,СГИ!$P$1:$AI$2,2)))=1,CONCATENATE("при измерении ",$T22," ",AC$6," не допускается ! "),"")</f>
      </c>
      <c r="AD22" s="277">
        <f>IF(IF(ISNA(INDEX(СГИ!$P$3:$AI$22,VLOOKUP($T22,СГИ!$N$3:$O$22,2),HLOOKUP(AD$6,СГИ!$P$1:$AI$2,2))),"",INDEX(СГИ!$P$3:$AI$22,VLOOKUP($T22,СГИ!$N$3:$O$22,2),HLOOKUP(AD$6,СГИ!$P$1:$AI$2,2)))=1,CONCATENATE("при измерении ",$T22," ",AD$6," не допускается ! "),"")</f>
      </c>
      <c r="AE22" s="277">
        <f>IF(IF(ISNA(INDEX(СГИ!$P$3:$AI$22,VLOOKUP($T22,СГИ!$N$3:$O$22,2),HLOOKUP(AE$6,СГИ!$P$1:$AI$2,2))),"",INDEX(СГИ!$P$3:$AI$22,VLOOKUP($T22,СГИ!$N$3:$O$22,2),HLOOKUP(AE$6,СГИ!$P$1:$AI$2,2)))=1,CONCATENATE("при измерении ",$T22," ",AE$6," не допускается ! "),"")</f>
      </c>
      <c r="AF22" s="277">
        <f>IF(IF(ISNA(INDEX(СГИ!$P$3:$AI$22,VLOOKUP($T22,СГИ!$N$3:$O$22,2),HLOOKUP(AF$6,СГИ!$P$1:$AI$2,2))),"",INDEX(СГИ!$P$3:$AI$22,VLOOKUP($T22,СГИ!$N$3:$O$22,2),HLOOKUP(AF$6,СГИ!$P$1:$AI$2,2)))=1,CONCATENATE("при измерении ",$T22," ",AF$6," не допускается ! "),"")</f>
      </c>
      <c r="AG22" s="277">
        <f>IF(IF(ISNA(INDEX(СГИ!$P$3:$AI$22,VLOOKUP($T22,СГИ!$N$3:$O$22,2),HLOOKUP(AG$6,СГИ!$P$1:$AI$2,2))),"",INDEX(СГИ!$P$3:$AI$22,VLOOKUP($T22,СГИ!$N$3:$O$22,2),HLOOKUP(AG$6,СГИ!$P$1:$AI$2,2)))=1,CONCATENATE("при измерении ",$T22," ",AG$6," не допускается ! "),"")</f>
      </c>
      <c r="AH22" s="277">
        <f>IF(IF(ISNA(INDEX(СГИ!$P$3:$AI$22,VLOOKUP($T22,СГИ!$N$3:$O$22,2),HLOOKUP(AH$6,СГИ!$P$1:$AI$2,2))),"",INDEX(СГИ!$P$3:$AI$22,VLOOKUP($T22,СГИ!$N$3:$O$22,2),HLOOKUP(AH$6,СГИ!$P$1:$AI$2,2)))=1,CONCATENATE("при измерении ",$T22," ",AH$6," не допускается ! "),"")</f>
      </c>
      <c r="AI22" s="277">
        <f>IF(IF(ISNA(INDEX(СГИ!$P$3:$AI$22,VLOOKUP($T22,СГИ!$N$3:$O$22,2),HLOOKUP(AI$6,СГИ!$P$1:$AI$2,2))),"",INDEX(СГИ!$P$3:$AI$22,VLOOKUP($T22,СГИ!$N$3:$O$22,2),HLOOKUP(AI$6,СГИ!$P$1:$AI$2,2)))=1,CONCATENATE("при измерении ",$T22," ",AI$6," не допускается ! "),"")</f>
      </c>
      <c r="AJ22" s="277">
        <f>IF(IF(ISNA(INDEX(СГИ!$P$3:$AI$22,VLOOKUP($T22,СГИ!$N$3:$O$22,2),HLOOKUP(AJ$6,СГИ!$P$1:$AI$2,2))),"",INDEX(СГИ!$P$3:$AI$22,VLOOKUP($T22,СГИ!$N$3:$O$22,2),HLOOKUP(AJ$6,СГИ!$P$1:$AI$2,2)))=1,CONCATENATE("при измерении ",$T22," ",AJ$6," не допускается ! "),"")</f>
      </c>
      <c r="AK22" s="277">
        <f>IF(IF(ISNA(INDEX(СГИ!$P$3:$AI$22,VLOOKUP($T22,СГИ!$N$3:$O$22,2),HLOOKUP(AK$6,СГИ!$P$1:$AI$2,2))),"",INDEX(СГИ!$P$3:$AI$22,VLOOKUP($T22,СГИ!$N$3:$O$22,2),HLOOKUP(AK$6,СГИ!$P$1:$AI$2,2)))=1,CONCATENATE("при измерении ",$T22," ",AK$6," не допускается ! "),"")</f>
      </c>
      <c r="AL22" s="277">
        <f>IF(IF(ISNA(INDEX(СГИ!$P$3:$AI$22,VLOOKUP($T22,СГИ!$N$3:$O$22,2),HLOOKUP(AL$6,СГИ!$P$1:$AI$2,2))),"",INDEX(СГИ!$P$3:$AI$22,VLOOKUP($T22,СГИ!$N$3:$O$22,2),HLOOKUP(AL$6,СГИ!$P$1:$AI$2,2)))=1,CONCATENATE("при измерении ",$T22," ",AL$6," не допускается ! "),"")</f>
      </c>
      <c r="AM22">
        <f t="shared" si="3"/>
      </c>
    </row>
    <row r="23" spans="2:39" ht="22.5" customHeight="1">
      <c r="B23" s="294"/>
      <c r="C23" s="294"/>
      <c r="D23" s="279" t="s">
        <v>117</v>
      </c>
      <c r="E23" s="280"/>
      <c r="F23" s="280"/>
      <c r="G23" s="280"/>
      <c r="H23" s="267" t="s">
        <v>375</v>
      </c>
      <c r="J23" s="853" t="s">
        <v>407</v>
      </c>
      <c r="K23" s="873">
        <v>0.05</v>
      </c>
      <c r="L23" s="282">
        <f>IF(AND(E23&gt;0,SUM(E$7:E$24)&lt;17),IF(OR(F23=1,F23=2,F23=3),IF(AND(L$25&gt;1,E$27=1),1,F23),IF(AND(F23="",L$25&gt;1,E$27=1),1,VLOOKUP(D23,СГИ!$A$8:$G$27,7,TRUE))),"")</f>
      </c>
      <c r="M23" s="282">
        <f t="shared" si="4"/>
      </c>
      <c r="N23" s="283">
        <f t="shared" si="1"/>
      </c>
      <c r="O23" s="284">
        <f t="shared" si="5"/>
        <v>0</v>
      </c>
      <c r="P23" s="285">
        <f t="shared" si="2"/>
        <v>0</v>
      </c>
      <c r="Q23" s="273">
        <f>IF(SUM($E$7:$E$24)&gt;8,IF(OR(D23="NO2",D23="HCl"),"--",VLOOKUP(D23,СГИ!$A$8:$G$27,4,TRUE)+VLOOKUP(D23,СГИ!$A$8:$G$27,2,TRUE)),VLOOKUP(D23,СГИ!$A$8:$G$27,4,TRUE))</f>
        <v>22940</v>
      </c>
      <c r="R23" s="274">
        <f>IF(O23&gt;0,VLOOKUP(S23,СГИ!$A$8:$G$27,6,TRUE),"")</f>
      </c>
      <c r="S23" s="274">
        <f t="shared" si="0"/>
      </c>
      <c r="T23" s="276">
        <f t="shared" si="6"/>
      </c>
      <c r="U23" s="277">
        <f>IF(IF(ISNA(INDEX(СГИ!$P$3:$AI$22,VLOOKUP($T23,СГИ!$N$3:$O$22,2),HLOOKUP(U$6,СГИ!$P$1:$AI$2,2))),"",INDEX(СГИ!$P$3:$AI$22,VLOOKUP($T23,СГИ!$N$3:$O$22,2),HLOOKUP(U$6,СГИ!$P$1:$AI$2,2)))=1,CONCATENATE("при измерении ",$T23," ",U$6," не допускается ! "),"")</f>
      </c>
      <c r="V23" s="277">
        <f>IF(IF(ISNA(INDEX(СГИ!$P$3:$AI$22,VLOOKUP($T23,СГИ!$N$3:$O$22,2),HLOOKUP(V$6,СГИ!$P$1:$AI$2,2))),"",INDEX(СГИ!$P$3:$AI$22,VLOOKUP($T23,СГИ!$N$3:$O$22,2),HLOOKUP(V$6,СГИ!$P$1:$AI$2,2)))=1,CONCATENATE("при измерении ",$T23," ",V$6," не допускается ! "),"")</f>
      </c>
      <c r="W23" s="277">
        <f>IF(IF(ISNA(INDEX(СГИ!$P$3:$AI$22,VLOOKUP($T23,СГИ!$N$3:$O$22,2),HLOOKUP(W$6,СГИ!$P$1:$AI$2,2))),"",INDEX(СГИ!$P$3:$AI$22,VLOOKUP($T23,СГИ!$N$3:$O$22,2),HLOOKUP(W$6,СГИ!$P$1:$AI$2,2)))=1,CONCATENATE("при измерении ",$T23," ",W$6," не допускается ! "),"")</f>
      </c>
      <c r="X23" s="277">
        <f>IF(IF(ISNA(INDEX(СГИ!$P$3:$AI$22,VLOOKUP($T23,СГИ!$N$3:$O$22,2),HLOOKUP(X$6,СГИ!$P$1:$AI$2,2))),"",INDEX(СГИ!$P$3:$AI$22,VLOOKUP($T23,СГИ!$N$3:$O$22,2),HLOOKUP(X$6,СГИ!$P$1:$AI$2,2)))=1,CONCATENATE("при измерении ",$T23," ",X$6," не допускается ! "),"")</f>
      </c>
      <c r="Y23" s="277">
        <f>IF(IF(ISNA(INDEX(СГИ!$P$3:$AI$22,VLOOKUP($T23,СГИ!$N$3:$O$22,2),HLOOKUP(Y$6,СГИ!$P$1:$AI$2,2))),"",INDEX(СГИ!$P$3:$AI$22,VLOOKUP($T23,СГИ!$N$3:$O$22,2),HLOOKUP(Y$6,СГИ!$P$1:$AI$2,2)))=1,CONCATENATE("при измерении ",$T23," ",Y$6," не допускается ! "),"")</f>
      </c>
      <c r="Z23" s="277">
        <f>IF(IF(ISNA(INDEX(СГИ!$P$3:$AI$22,VLOOKUP($T23,СГИ!$N$3:$O$22,2),HLOOKUP(Z$6,СГИ!$P$1:$AI$2,2))),"",INDEX(СГИ!$P$3:$AI$22,VLOOKUP($T23,СГИ!$N$3:$O$22,2),HLOOKUP(Z$6,СГИ!$P$1:$AI$2,2)))=1,CONCATENATE("при измерении ",$T23," ",Z$6," не допускается ! "),"")</f>
      </c>
      <c r="AA23" s="277">
        <f>IF(IF(ISNA(INDEX(СГИ!$P$3:$AI$22,VLOOKUP($T23,СГИ!$N$3:$O$22,2),HLOOKUP(AA$6,СГИ!$P$1:$AI$2,2))),"",INDEX(СГИ!$P$3:$AI$22,VLOOKUP($T23,СГИ!$N$3:$O$22,2),HLOOKUP(AA$6,СГИ!$P$1:$AI$2,2)))=1,CONCATENATE("при измерении ",$T23," ",AA$6," не допускается ! "),"")</f>
      </c>
      <c r="AB23" s="277">
        <f>IF(IF(ISNA(INDEX(СГИ!$P$3:$AI$22,VLOOKUP($T23,СГИ!$N$3:$O$22,2),HLOOKUP(AB$6,СГИ!$P$1:$AI$2,2))),"",INDEX(СГИ!$P$3:$AI$22,VLOOKUP($T23,СГИ!$N$3:$O$22,2),HLOOKUP(AB$6,СГИ!$P$1:$AI$2,2)))=1,CONCATENATE("при измерении ",$T23," ",AB$6," не допускается ! "),"")</f>
      </c>
      <c r="AC23" s="277">
        <f>IF(IF(ISNA(INDEX(СГИ!$P$3:$AI$22,VLOOKUP($T23,СГИ!$N$3:$O$22,2),HLOOKUP(AC$6,СГИ!$P$1:$AI$2,2))),"",INDEX(СГИ!$P$3:$AI$22,VLOOKUP($T23,СГИ!$N$3:$O$22,2),HLOOKUP(AC$6,СГИ!$P$1:$AI$2,2)))=1,CONCATENATE("при измерении ",$T23," ",AC$6," не допускается ! "),"")</f>
      </c>
      <c r="AD23" s="277">
        <f>IF(IF(ISNA(INDEX(СГИ!$P$3:$AI$22,VLOOKUP($T23,СГИ!$N$3:$O$22,2),HLOOKUP(AD$6,СГИ!$P$1:$AI$2,2))),"",INDEX(СГИ!$P$3:$AI$22,VLOOKUP($T23,СГИ!$N$3:$O$22,2),HLOOKUP(AD$6,СГИ!$P$1:$AI$2,2)))=1,CONCATENATE("при измерении ",$T23," ",AD$6," не допускается ! "),"")</f>
      </c>
      <c r="AE23" s="277">
        <f>IF(IF(ISNA(INDEX(СГИ!$P$3:$AI$22,VLOOKUP($T23,СГИ!$N$3:$O$22,2),HLOOKUP(AE$6,СГИ!$P$1:$AI$2,2))),"",INDEX(СГИ!$P$3:$AI$22,VLOOKUP($T23,СГИ!$N$3:$O$22,2),HLOOKUP(AE$6,СГИ!$P$1:$AI$2,2)))=1,CONCATENATE("при измерении ",$T23," ",AE$6," не допускается ! "),"")</f>
      </c>
      <c r="AF23" s="277">
        <f>IF(IF(ISNA(INDEX(СГИ!$P$3:$AI$22,VLOOKUP($T23,СГИ!$N$3:$O$22,2),HLOOKUP(AF$6,СГИ!$P$1:$AI$2,2))),"",INDEX(СГИ!$P$3:$AI$22,VLOOKUP($T23,СГИ!$N$3:$O$22,2),HLOOKUP(AF$6,СГИ!$P$1:$AI$2,2)))=1,CONCATENATE("при измерении ",$T23," ",AF$6," не допускается ! "),"")</f>
      </c>
      <c r="AG23" s="277">
        <f>IF(IF(ISNA(INDEX(СГИ!$P$3:$AI$22,VLOOKUP($T23,СГИ!$N$3:$O$22,2),HLOOKUP(AG$6,СГИ!$P$1:$AI$2,2))),"",INDEX(СГИ!$P$3:$AI$22,VLOOKUP($T23,СГИ!$N$3:$O$22,2),HLOOKUP(AG$6,СГИ!$P$1:$AI$2,2)))=1,CONCATENATE("при измерении ",$T23," ",AG$6," не допускается ! "),"")</f>
      </c>
      <c r="AH23" s="277">
        <f>IF(IF(ISNA(INDEX(СГИ!$P$3:$AI$22,VLOOKUP($T23,СГИ!$N$3:$O$22,2),HLOOKUP(AH$6,СГИ!$P$1:$AI$2,2))),"",INDEX(СГИ!$P$3:$AI$22,VLOOKUP($T23,СГИ!$N$3:$O$22,2),HLOOKUP(AH$6,СГИ!$P$1:$AI$2,2)))=1,CONCATENATE("при измерении ",$T23," ",AH$6," не допускается ! "),"")</f>
      </c>
      <c r="AI23" s="277">
        <f>IF(IF(ISNA(INDEX(СГИ!$P$3:$AI$22,VLOOKUP($T23,СГИ!$N$3:$O$22,2),HLOOKUP(AI$6,СГИ!$P$1:$AI$2,2))),"",INDEX(СГИ!$P$3:$AI$22,VLOOKUP($T23,СГИ!$N$3:$O$22,2),HLOOKUP(AI$6,СГИ!$P$1:$AI$2,2)))=1,CONCATENATE("при измерении ",$T23," ",AI$6," не допускается ! "),"")</f>
      </c>
      <c r="AJ23" s="277">
        <f>IF(IF(ISNA(INDEX(СГИ!$P$3:$AI$22,VLOOKUP($T23,СГИ!$N$3:$O$22,2),HLOOKUP(AJ$6,СГИ!$P$1:$AI$2,2))),"",INDEX(СГИ!$P$3:$AI$22,VLOOKUP($T23,СГИ!$N$3:$O$22,2),HLOOKUP(AJ$6,СГИ!$P$1:$AI$2,2)))=1,CONCATENATE("при измерении ",$T23," ",AJ$6," не допускается ! "),"")</f>
      </c>
      <c r="AK23" s="277">
        <f>IF(IF(ISNA(INDEX(СГИ!$P$3:$AI$22,VLOOKUP($T23,СГИ!$N$3:$O$22,2),HLOOKUP(AK$6,СГИ!$P$1:$AI$2,2))),"",INDEX(СГИ!$P$3:$AI$22,VLOOKUP($T23,СГИ!$N$3:$O$22,2),HLOOKUP(AK$6,СГИ!$P$1:$AI$2,2)))=1,CONCATENATE("при измерении ",$T23," ",AK$6," не допускается ! "),"")</f>
      </c>
      <c r="AL23" s="277">
        <f>IF(IF(ISNA(INDEX(СГИ!$P$3:$AI$22,VLOOKUP($T23,СГИ!$N$3:$O$22,2),HLOOKUP(AL$6,СГИ!$P$1:$AI$2,2))),"",INDEX(СГИ!$P$3:$AI$22,VLOOKUP($T23,СГИ!$N$3:$O$22,2),HLOOKUP(AL$6,СГИ!$P$1:$AI$2,2)))=1,CONCATENATE("при измерении ",$T23," ",AL$6," не допускается ! "),"")</f>
      </c>
      <c r="AM23">
        <f t="shared" si="3"/>
      </c>
    </row>
    <row r="24" spans="2:39" ht="21" customHeight="1" thickBot="1">
      <c r="B24" s="294"/>
      <c r="C24" s="294"/>
      <c r="D24" s="306" t="s">
        <v>408</v>
      </c>
      <c r="E24" s="307"/>
      <c r="F24" s="307"/>
      <c r="G24" s="307"/>
      <c r="H24" s="267" t="s">
        <v>375</v>
      </c>
      <c r="J24" s="874" t="s">
        <v>409</v>
      </c>
      <c r="K24" s="875" t="str">
        <f>IF($K23&gt;0.2,"скидка указана неверно",IF(K14="проверьте ввод данных","--",ROUND(K14*(1-$K23),2)))</f>
        <v>--</v>
      </c>
      <c r="L24" s="309">
        <f>IF(AND(E24&gt;0,SUM(E$7:E$24)&lt;17),IF(OR(F24=1,F24=2,F24=3),IF(AND(L$25&gt;1,E$27=1),1,F24),IF(AND(F24="",L$25&gt;1,E$27=1),1,VLOOKUP(D24,СГИ!$A$8:$G$27,7,TRUE))),"")</f>
      </c>
      <c r="M24" s="309">
        <f t="shared" si="4"/>
      </c>
      <c r="N24" s="283">
        <f t="shared" si="1"/>
      </c>
      <c r="O24" s="310">
        <f t="shared" si="5"/>
        <v>0</v>
      </c>
      <c r="P24" s="311">
        <f t="shared" si="2"/>
        <v>0</v>
      </c>
      <c r="Q24" s="273">
        <f>IF(SUM($E$7:$E$24)&gt;8,IF(OR(D24="NO2",D24="HCl"),"--",VLOOKUP(D24,СГИ!$A$8:$G$27,4,TRUE)+VLOOKUP(D24,СГИ!$A$8:$G$27,2,TRUE)),VLOOKUP(D24,СГИ!$A$8:$G$27,4,TRUE))</f>
        <v>18880</v>
      </c>
      <c r="R24" s="274">
        <f>IF(O24&gt;0,VLOOKUP(S24,СГИ!$A$8:$G$27,6,TRUE),"")</f>
      </c>
      <c r="S24" s="312">
        <f t="shared" si="0"/>
      </c>
      <c r="T24" s="276">
        <f t="shared" si="6"/>
      </c>
      <c r="U24" s="277">
        <f>IF(IF(ISNA(INDEX(СГИ!$P$3:$AI$22,VLOOKUP($T24,СГИ!$N$3:$O$22,2),HLOOKUP(U$6,СГИ!$P$1:$AI$2,2))),"",INDEX(СГИ!$P$3:$AI$22,VLOOKUP($T24,СГИ!$N$3:$O$22,2),HLOOKUP(U$6,СГИ!$P$1:$AI$2,2)))=1,CONCATENATE("при измерении ",$T24," ",U$6," не допускается ! "),"")</f>
      </c>
      <c r="V24" s="277">
        <f>IF(IF(ISNA(INDEX(СГИ!$P$3:$AI$22,VLOOKUP($T24,СГИ!$N$3:$O$22,2),HLOOKUP(V$6,СГИ!$P$1:$AI$2,2))),"",INDEX(СГИ!$P$3:$AI$22,VLOOKUP($T24,СГИ!$N$3:$O$22,2),HLOOKUP(V$6,СГИ!$P$1:$AI$2,2)))=1,CONCATENATE("при измерении ",$T24," ",V$6," не допускается ! "),"")</f>
      </c>
      <c r="W24" s="277">
        <f>IF(IF(ISNA(INDEX(СГИ!$P$3:$AI$22,VLOOKUP($T24,СГИ!$N$3:$O$22,2),HLOOKUP(W$6,СГИ!$P$1:$AI$2,2))),"",INDEX(СГИ!$P$3:$AI$22,VLOOKUP($T24,СГИ!$N$3:$O$22,2),HLOOKUP(W$6,СГИ!$P$1:$AI$2,2)))=1,CONCATENATE("при измерении ",$T24," ",W$6," не допускается ! "),"")</f>
      </c>
      <c r="X24" s="277">
        <f>IF(IF(ISNA(INDEX(СГИ!$P$3:$AI$22,VLOOKUP($T24,СГИ!$N$3:$O$22,2),HLOOKUP(X$6,СГИ!$P$1:$AI$2,2))),"",INDEX(СГИ!$P$3:$AI$22,VLOOKUP($T24,СГИ!$N$3:$O$22,2),HLOOKUP(X$6,СГИ!$P$1:$AI$2,2)))=1,CONCATENATE("при измерении ",$T24," ",X$6," не допускается ! "),"")</f>
      </c>
      <c r="Y24" s="277">
        <f>IF(IF(ISNA(INDEX(СГИ!$P$3:$AI$22,VLOOKUP($T24,СГИ!$N$3:$O$22,2),HLOOKUP(Y$6,СГИ!$P$1:$AI$2,2))),"",INDEX(СГИ!$P$3:$AI$22,VLOOKUP($T24,СГИ!$N$3:$O$22,2),HLOOKUP(Y$6,СГИ!$P$1:$AI$2,2)))=1,CONCATENATE("при измерении ",$T24," ",Y$6," не допускается ! "),"")</f>
      </c>
      <c r="Z24" s="277">
        <f>IF(IF(ISNA(INDEX(СГИ!$P$3:$AI$22,VLOOKUP($T24,СГИ!$N$3:$O$22,2),HLOOKUP(Z$6,СГИ!$P$1:$AI$2,2))),"",INDEX(СГИ!$P$3:$AI$22,VLOOKUP($T24,СГИ!$N$3:$O$22,2),HLOOKUP(Z$6,СГИ!$P$1:$AI$2,2)))=1,CONCATENATE("при измерении ",$T24," ",Z$6," не допускается ! "),"")</f>
      </c>
      <c r="AA24" s="277">
        <f>IF(IF(ISNA(INDEX(СГИ!$P$3:$AI$22,VLOOKUP($T24,СГИ!$N$3:$O$22,2),HLOOKUP(AA$6,СГИ!$P$1:$AI$2,2))),"",INDEX(СГИ!$P$3:$AI$22,VLOOKUP($T24,СГИ!$N$3:$O$22,2),HLOOKUP(AA$6,СГИ!$P$1:$AI$2,2)))=1,CONCATENATE("при измерении ",$T24," ",AA$6," не допускается ! "),"")</f>
      </c>
      <c r="AB24" s="277">
        <f>IF(IF(ISNA(INDEX(СГИ!$P$3:$AI$22,VLOOKUP($T24,СГИ!$N$3:$O$22,2),HLOOKUP(AB$6,СГИ!$P$1:$AI$2,2))),"",INDEX(СГИ!$P$3:$AI$22,VLOOKUP($T24,СГИ!$N$3:$O$22,2),HLOOKUP(AB$6,СГИ!$P$1:$AI$2,2)))=1,CONCATENATE("при измерении ",$T24," ",AB$6," не допускается ! "),"")</f>
      </c>
      <c r="AC24" s="277">
        <f>IF(IF(ISNA(INDEX(СГИ!$P$3:$AI$22,VLOOKUP($T24,СГИ!$N$3:$O$22,2),HLOOKUP(AC$6,СГИ!$P$1:$AI$2,2))),"",INDEX(СГИ!$P$3:$AI$22,VLOOKUP($T24,СГИ!$N$3:$O$22,2),HLOOKUP(AC$6,СГИ!$P$1:$AI$2,2)))=1,CONCATENATE("при измерении ",$T24," ",AC$6," не допускается ! "),"")</f>
      </c>
      <c r="AD24" s="277">
        <f>IF(IF(ISNA(INDEX(СГИ!$P$3:$AI$22,VLOOKUP($T24,СГИ!$N$3:$O$22,2),HLOOKUP(AD$6,СГИ!$P$1:$AI$2,2))),"",INDEX(СГИ!$P$3:$AI$22,VLOOKUP($T24,СГИ!$N$3:$O$22,2),HLOOKUP(AD$6,СГИ!$P$1:$AI$2,2)))=1,CONCATENATE("при измерении ",$T24," ",AD$6," не допускается ! "),"")</f>
      </c>
      <c r="AE24" s="277">
        <f>IF(IF(ISNA(INDEX(СГИ!$P$3:$AI$22,VLOOKUP($T24,СГИ!$N$3:$O$22,2),HLOOKUP(AE$6,СГИ!$P$1:$AI$2,2))),"",INDEX(СГИ!$P$3:$AI$22,VLOOKUP($T24,СГИ!$N$3:$O$22,2),HLOOKUP(AE$6,СГИ!$P$1:$AI$2,2)))=1,CONCATENATE("при измерении ",$T24," ",AE$6," не допускается ! "),"")</f>
      </c>
      <c r="AF24" s="277">
        <f>IF(IF(ISNA(INDEX(СГИ!$P$3:$AI$22,VLOOKUP($T24,СГИ!$N$3:$O$22,2),HLOOKUP(AF$6,СГИ!$P$1:$AI$2,2))),"",INDEX(СГИ!$P$3:$AI$22,VLOOKUP($T24,СГИ!$N$3:$O$22,2),HLOOKUP(AF$6,СГИ!$P$1:$AI$2,2)))=1,CONCATENATE("при измерении ",$T24," ",AF$6," не допускается ! "),"")</f>
      </c>
      <c r="AG24" s="277">
        <f>IF(IF(ISNA(INDEX(СГИ!$P$3:$AI$22,VLOOKUP($T24,СГИ!$N$3:$O$22,2),HLOOKUP(AG$6,СГИ!$P$1:$AI$2,2))),"",INDEX(СГИ!$P$3:$AI$22,VLOOKUP($T24,СГИ!$N$3:$O$22,2),HLOOKUP(AG$6,СГИ!$P$1:$AI$2,2)))=1,CONCATENATE("при измерении ",$T24," ",AG$6," не допускается ! "),"")</f>
      </c>
      <c r="AH24" s="277">
        <f>IF(IF(ISNA(INDEX(СГИ!$P$3:$AI$22,VLOOKUP($T24,СГИ!$N$3:$O$22,2),HLOOKUP(AH$6,СГИ!$P$1:$AI$2,2))),"",INDEX(СГИ!$P$3:$AI$22,VLOOKUP($T24,СГИ!$N$3:$O$22,2),HLOOKUP(AH$6,СГИ!$P$1:$AI$2,2)))=1,CONCATENATE("при измерении ",$T24," ",AH$6," не допускается ! "),"")</f>
      </c>
      <c r="AI24" s="277">
        <f>IF(IF(ISNA(INDEX(СГИ!$P$3:$AI$22,VLOOKUP($T24,СГИ!$N$3:$O$22,2),HLOOKUP(AI$6,СГИ!$P$1:$AI$2,2))),"",INDEX(СГИ!$P$3:$AI$22,VLOOKUP($T24,СГИ!$N$3:$O$22,2),HLOOKUP(AI$6,СГИ!$P$1:$AI$2,2)))=1,CONCATENATE("при измерении ",$T24," ",AI$6," не допускается ! "),"")</f>
      </c>
      <c r="AJ24" s="277">
        <f>IF(IF(ISNA(INDEX(СГИ!$P$3:$AI$22,VLOOKUP($T24,СГИ!$N$3:$O$22,2),HLOOKUP(AJ$6,СГИ!$P$1:$AI$2,2))),"",INDEX(СГИ!$P$3:$AI$22,VLOOKUP($T24,СГИ!$N$3:$O$22,2),HLOOKUP(AJ$6,СГИ!$P$1:$AI$2,2)))=1,CONCATENATE("при измерении ",$T24," ",AJ$6," не допускается ! "),"")</f>
      </c>
      <c r="AK24" s="277">
        <f>IF(IF(ISNA(INDEX(СГИ!$P$3:$AI$22,VLOOKUP($T24,СГИ!$N$3:$O$22,2),HLOOKUP(AK$6,СГИ!$P$1:$AI$2,2))),"",INDEX(СГИ!$P$3:$AI$22,VLOOKUP($T24,СГИ!$N$3:$O$22,2),HLOOKUP(AK$6,СГИ!$P$1:$AI$2,2)))=1,CONCATENATE("при измерении ",$T24," ",AK$6," не допускается ! "),"")</f>
      </c>
      <c r="AL24" s="277">
        <f>IF(IF(ISNA(INDEX(СГИ!$P$3:$AI$22,VLOOKUP($T24,СГИ!$N$3:$O$22,2),HLOOKUP(AL$6,СГИ!$P$1:$AI$2,2))),"",INDEX(СГИ!$P$3:$AI$22,VLOOKUP($T24,СГИ!$N$3:$O$22,2),HLOOKUP(AL$6,СГИ!$P$1:$AI$2,2)))=1,CONCATENATE("при измерении ",$T24," ",AL$6," не допускается ! "),"")</f>
      </c>
      <c r="AM24">
        <f t="shared" si="3"/>
      </c>
    </row>
    <row r="25" spans="4:21" ht="48" customHeight="1" thickBot="1">
      <c r="D25" s="782" t="s">
        <v>410</v>
      </c>
      <c r="E25" s="780"/>
      <c r="L25" s="314">
        <f>DCOUNTA($E6:$E24,$E6,$M25:$M26)</f>
        <v>0</v>
      </c>
      <c r="M25" s="315" t="s">
        <v>322</v>
      </c>
      <c r="N25" s="316" t="s">
        <v>412</v>
      </c>
      <c r="O25" s="317">
        <f>SUM(O8:O12)</f>
        <v>0</v>
      </c>
      <c r="P25" s="318">
        <f>IF(OR(O19=1,O20=1),"канал двуокиси азота или хлористого водорода",IF(E21&gt;0,CONCATENATE("индикатор озона ",E21,"-канальный"),IF(E22&gt;0,CONCATENATE("индикатор фтора ",E22,"-канальный"),"")))</f>
      </c>
      <c r="Q25" s="319" t="s">
        <v>413</v>
      </c>
      <c r="R25" s="314">
        <f>IF(NOT(K9="взрывозащита НЕ предусмотрена"),СГИ!$D$29*SUM(P7:P24)+СГИ!$D$30*ROUNDUP(SUM(P7:P24)/4,0),0)</f>
        <v>0</v>
      </c>
      <c r="U25" s="783">
        <v>41976</v>
      </c>
    </row>
    <row r="26" spans="4:21" ht="48" customHeight="1" thickBot="1">
      <c r="D26" s="781" t="s">
        <v>414</v>
      </c>
      <c r="E26" s="320"/>
      <c r="L26" s="844" t="s">
        <v>411</v>
      </c>
      <c r="M26" s="321"/>
      <c r="N26" s="316" t="s">
        <v>415</v>
      </c>
      <c r="O26" s="317">
        <f>SUM(O14:O24)</f>
        <v>0</v>
      </c>
      <c r="P26" s="322" t="str">
        <f>IF(AND(P25="",E21="",E22=""),IF(O27&gt;0,CONCATENATE("Хоббит-Т",N7,N8,N9,N10,N11,N12,N13,N14,N15,N16,N17,N18,N23,N24),"данные не введены"),P25)</f>
        <v>данные не введены</v>
      </c>
      <c r="Q26" s="319" t="str">
        <f>CONCATENATE("наценка за гирлянду                        (",U26," р. за канал):")</f>
        <v>наценка за гирлянду                        (330 р. за канал):</v>
      </c>
      <c r="R26" s="314">
        <f>(U26*S26)*SUM(O7:O24)</f>
        <v>0</v>
      </c>
      <c r="S26" s="259">
        <f>IF(E26=1,1,0)</f>
        <v>0</v>
      </c>
      <c r="U26" s="784">
        <v>330</v>
      </c>
    </row>
    <row r="27" spans="4:21" ht="69" customHeight="1" thickBot="1">
      <c r="D27" s="323" t="s">
        <v>416</v>
      </c>
      <c r="E27" s="324"/>
      <c r="N27" s="316" t="s">
        <v>417</v>
      </c>
      <c r="O27" s="317">
        <f>SUM(O7:O24)</f>
        <v>0</v>
      </c>
      <c r="P27" s="325" t="str">
        <f>IF(O27&gt;16,"(уменьшите число каналов)",IF(OR(O19&gt;0,O20&gt;0),"- см. ниже ОКА",IF(O27=0,"(введите необходимые данные)",AM6)))</f>
        <v>(введите необходимые данные)</v>
      </c>
      <c r="Q27" s="319" t="str">
        <f>CONCATENATE("наценка за коррозионно-устойчивое исполнение (",U27," р. за канал)")</f>
        <v>наценка за коррозионно-устойчивое исполнение (1100 р. за канал)</v>
      </c>
      <c r="R27" s="314">
        <f>U27*S27*SUM(O7:O24)</f>
        <v>0</v>
      </c>
      <c r="S27" s="259">
        <f>IF(OR(E27=1,O20&gt;0,O23&gt;0),1,0)</f>
        <v>0</v>
      </c>
      <c r="U27" s="785">
        <v>1100</v>
      </c>
    </row>
    <row r="29" s="326" customFormat="1" ht="13.5" customHeight="1">
      <c r="O29" s="327"/>
    </row>
    <row r="30" spans="1:13" ht="12" customHeight="1">
      <c r="A30" s="228"/>
      <c r="B30" s="228"/>
      <c r="C30" s="229" t="s">
        <v>351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</row>
    <row r="31" spans="1:14" ht="12" customHeight="1">
      <c r="A31" s="228"/>
      <c r="B31" s="228"/>
      <c r="C31" s="233" t="s">
        <v>418</v>
      </c>
      <c r="D31" s="228"/>
      <c r="H31" s="231"/>
      <c r="I31" s="231"/>
      <c r="J31" s="232"/>
      <c r="L31" s="228"/>
      <c r="M31" s="228"/>
      <c r="N31" s="228"/>
    </row>
    <row r="32" spans="1:14" ht="13.5" customHeight="1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  <row r="33" spans="2:26" s="1" customFormat="1" ht="26.25" customHeight="1">
      <c r="B33" s="235"/>
      <c r="C33" s="235"/>
      <c r="D33" s="236" t="s">
        <v>355</v>
      </c>
      <c r="E33" s="241" t="s">
        <v>419</v>
      </c>
      <c r="F33" s="238"/>
      <c r="G33" s="239" t="s">
        <v>322</v>
      </c>
      <c r="H33" s="240" t="s">
        <v>357</v>
      </c>
      <c r="I33" s="841" t="s">
        <v>358</v>
      </c>
      <c r="J33" s="845"/>
      <c r="K33" s="846"/>
      <c r="L33" s="242" t="s">
        <v>359</v>
      </c>
      <c r="M33" s="243" t="s">
        <v>420</v>
      </c>
      <c r="N33" s="244"/>
      <c r="O33" s="245" t="str">
        <f>IF(E54=1,"ГИРЛЯНДА","звезда")</f>
        <v>звезда</v>
      </c>
      <c r="P33" s="246" t="str">
        <f>IF(E53=1,"ВСЕ ВЗРЫВОЗАЩ,",IF(SUM(G35:G52)&gt;0,"есть взрывозащ. каналы","не взрывозащ."))</f>
        <v>не взрывозащ.</v>
      </c>
      <c r="Q33" s="247" t="s">
        <v>361</v>
      </c>
      <c r="R33" s="247" t="s">
        <v>362</v>
      </c>
      <c r="S33" s="247" t="s">
        <v>363</v>
      </c>
      <c r="T33"/>
      <c r="U33" s="248" t="s">
        <v>364</v>
      </c>
      <c r="V33"/>
      <c r="W33"/>
      <c r="X33"/>
      <c r="Y33"/>
      <c r="Z33"/>
    </row>
    <row r="34" spans="2:39" ht="34.5" customHeight="1" thickBot="1">
      <c r="B34" s="328"/>
      <c r="C34" s="328"/>
      <c r="D34" s="329" t="s">
        <v>365</v>
      </c>
      <c r="E34" s="251" t="s">
        <v>322</v>
      </c>
      <c r="F34" s="252" t="s">
        <v>326</v>
      </c>
      <c r="G34" s="253" t="s">
        <v>366</v>
      </c>
      <c r="H34" s="254" t="str">
        <f>IF(E55=1,"КНС или мороз","нет")</f>
        <v>нет</v>
      </c>
      <c r="I34" s="842" t="str">
        <f>IF(E54=1,"ГИРЛЯНДА","звезда")</f>
        <v>звезда</v>
      </c>
      <c r="J34" s="877" t="s">
        <v>367</v>
      </c>
      <c r="K34" s="878" t="s">
        <v>421</v>
      </c>
      <c r="L34" s="843" t="s">
        <v>369</v>
      </c>
      <c r="M34" s="255" t="s">
        <v>370</v>
      </c>
      <c r="N34" s="256" t="s">
        <v>371</v>
      </c>
      <c r="O34" s="256" t="s">
        <v>322</v>
      </c>
      <c r="P34" s="256" t="s">
        <v>372</v>
      </c>
      <c r="Q34" s="258" t="s">
        <v>422</v>
      </c>
      <c r="R34" s="258" t="s">
        <v>422</v>
      </c>
      <c r="S34" s="258" t="s">
        <v>422</v>
      </c>
      <c r="T34" s="259"/>
      <c r="U34" s="260">
        <f>IF(T35="","",T35)</f>
      </c>
      <c r="V34" s="260">
        <f>IF(T36="","",T36)</f>
      </c>
      <c r="W34" s="260">
        <f>IF(T37="","",T37)</f>
      </c>
      <c r="X34" s="260">
        <f>IF(T38="","",T38)</f>
      </c>
      <c r="Y34" s="260">
        <f>IF(T39="","",T39)</f>
      </c>
      <c r="Z34" s="261">
        <f>IF(T40="","",T40)</f>
      </c>
      <c r="AA34" s="261">
        <f>IF(T41="","",T41)</f>
      </c>
      <c r="AB34" s="261">
        <f>IF(T42="","",T42)</f>
      </c>
      <c r="AC34" s="261">
        <f>IF(T43="","",T43)</f>
      </c>
      <c r="AD34" s="261">
        <f>IF(T44="","",T44)</f>
      </c>
      <c r="AE34" s="261">
        <f>IF(T45="","",T45)</f>
      </c>
      <c r="AF34" s="261">
        <f>IF(T46="","",T46)</f>
      </c>
      <c r="AG34" s="261">
        <f>IF(T47="","",T47)</f>
      </c>
      <c r="AH34" s="261">
        <f>IF(T48="","",T48)</f>
      </c>
      <c r="AI34" s="261">
        <f>IF(T49="","",T49)</f>
      </c>
      <c r="AJ34" s="261">
        <f>IF(T50="","",T50)</f>
      </c>
      <c r="AK34" s="261">
        <f>IF(T51="","",T51)</f>
      </c>
      <c r="AL34" s="261">
        <f>IF(T52="","",T52)</f>
      </c>
      <c r="AM34" s="262">
        <f>CONCATENATE(AM35,AM36,AM37,AM38,AM39,AM40,AM41,AM42,AM43,AM44,AM45,AM46,AM47,AM48,AM49,AM50,AM51,AM52)</f>
      </c>
    </row>
    <row r="35" spans="2:39" ht="24.75" customHeight="1" thickBot="1">
      <c r="B35" s="263" t="s">
        <v>373</v>
      </c>
      <c r="C35" s="264"/>
      <c r="D35" s="330" t="s">
        <v>374</v>
      </c>
      <c r="E35" s="331"/>
      <c r="F35" s="266"/>
      <c r="G35" s="912"/>
      <c r="H35" s="267" t="s">
        <v>375</v>
      </c>
      <c r="J35" s="849" t="s">
        <v>376</v>
      </c>
      <c r="K35" s="850" t="str">
        <f>IF(O55&gt;16,"превышение числа каналов",P54)</f>
        <v>данные не введены</v>
      </c>
      <c r="L35" s="269">
        <f>IF(AND(E35&gt;0,SUM(E$35:E$52)&lt;17),IF(AND(OR(F35=1,F35=2,F35=3),NOT(E$55=1)),F35,IF(OR(F35="",E$55=1),1,"")),"")</f>
      </c>
      <c r="M35" s="268">
        <f>IF(E35&gt;0,D35,"")</f>
      </c>
      <c r="N35" s="270">
        <f>IF(AND($O35&gt;1,$O35&lt;17),CONCATENATE("-",$O35,$M35),IF($O35=1,CONCATENATE("-",$M35),""))</f>
      </c>
      <c r="O35" s="271">
        <f>IF(M35="",0,E35)</f>
        <v>0</v>
      </c>
      <c r="P35" s="285">
        <f aca="true" t="shared" si="7" ref="P35:P49">IF(AND(E$53=1,NOT(E$54=1)),E35,G35)</f>
        <v>0</v>
      </c>
      <c r="Q35" s="273">
        <f>IF(SUM($E$35:$E$52)&gt;8,IF(OR(D35="O3"),"--",VLOOKUP(D35,СГИ!$A$8:$G$27,3,TRUE)+VLOOKUP(D35,СГИ!$A$8:$G$27,2,TRUE)),VLOOKUP(D35,СГИ!$A$8:$G$27,3,TRUE))</f>
        <v>9210</v>
      </c>
      <c r="R35" s="274">
        <f>IF(O35&gt;0,VLOOKUP(S35,СГИ!$A$8:$G$27,5,TRUE),"")</f>
      </c>
      <c r="S35" s="275">
        <f aca="true" t="shared" si="8" ref="S35:S52">M35</f>
      </c>
      <c r="T35" s="276">
        <f>IF(S35="","",S35)</f>
      </c>
      <c r="U35" s="277">
        <f>IF(IF(ISNA(INDEX(СГИ!$P$3:$AI$22,VLOOKUP($T35,СГИ!$N$3:$O$22,2),HLOOKUP(U$6,СГИ!$P$1:$AI$2,2))),"",INDEX(СГИ!$P$3:$AI$22,VLOOKUP($T35,СГИ!$N$3:$O$22,2),HLOOKUP(U$6,СГИ!$P$1:$AI$2,2)))=1,CONCATENATE("при измерении ",$T35," ",U$34," не допускается ! "),"")</f>
      </c>
      <c r="V35" s="277">
        <f>IF(IF(ISNA(INDEX(СГИ!$P$3:$AI$22,VLOOKUP($T35,СГИ!$N$3:$O$22,2),HLOOKUP(V$6,СГИ!$P$1:$AI$2,2))),"",INDEX(СГИ!$P$3:$AI$22,VLOOKUP($T35,СГИ!$N$3:$O$22,2),HLOOKUP(V$6,СГИ!$P$1:$AI$2,2)))=1,CONCATENATE("при измерении ",$T35," ",V$34," не допускается ! "),"")</f>
      </c>
      <c r="W35" s="277">
        <f>IF(IF(ISNA(INDEX(СГИ!$P$3:$AI$22,VLOOKUP($T35,СГИ!$N$3:$O$22,2),HLOOKUP(W$6,СГИ!$P$1:$AI$2,2))),"",INDEX(СГИ!$P$3:$AI$22,VLOOKUP($T35,СГИ!$N$3:$O$22,2),HLOOKUP(W$6,СГИ!$P$1:$AI$2,2)))=1,CONCATENATE("при измерении ",$T35," ",W$34," не допускается ! "),"")</f>
      </c>
      <c r="X35" s="277">
        <f>IF(IF(ISNA(INDEX(СГИ!$P$3:$AI$22,VLOOKUP($T35,СГИ!$N$3:$O$22,2),HLOOKUP(X$6,СГИ!$P$1:$AI$2,2))),"",INDEX(СГИ!$P$3:$AI$22,VLOOKUP($T35,СГИ!$N$3:$O$22,2),HLOOKUP(X$6,СГИ!$P$1:$AI$2,2)))=1,CONCATENATE("при измерении ",$T35," ",X$34," не допускается ! "),"")</f>
      </c>
      <c r="Y35" s="277">
        <f>IF(IF(ISNA(INDEX(СГИ!$P$3:$AI$22,VLOOKUP($T35,СГИ!$N$3:$O$22,2),HLOOKUP(Y$6,СГИ!$P$1:$AI$2,2))),"",INDEX(СГИ!$P$3:$AI$22,VLOOKUP($T35,СГИ!$N$3:$O$22,2),HLOOKUP(Y$6,СГИ!$P$1:$AI$2,2)))=1,CONCATENATE("при измерении ",$T35," ",Y$34," не допускается ! "),"")</f>
      </c>
      <c r="Z35" s="277">
        <f>IF(IF(ISNA(INDEX(СГИ!$P$3:$AI$22,VLOOKUP($T35,СГИ!$N$3:$O$22,2),HLOOKUP(Z$6,СГИ!$P$1:$AI$2,2))),"",INDEX(СГИ!$P$3:$AI$22,VLOOKUP($T35,СГИ!$N$3:$O$22,2),HLOOKUP(Z$6,СГИ!$P$1:$AI$2,2)))=1,CONCATENATE("при измерении ",$T35," ",Z$34," не допускается ! "),"")</f>
      </c>
      <c r="AA35" s="277">
        <f>IF(IF(ISNA(INDEX(СГИ!$P$3:$AI$22,VLOOKUP($T35,СГИ!$N$3:$O$22,2),HLOOKUP(AA$6,СГИ!$P$1:$AI$2,2))),"",INDEX(СГИ!$P$3:$AI$22,VLOOKUP($T35,СГИ!$N$3:$O$22,2),HLOOKUP(AA$6,СГИ!$P$1:$AI$2,2)))=1,CONCATENATE("при измерении ",$T35," ",AA$34," не допускается ! "),"")</f>
      </c>
      <c r="AB35" s="277">
        <f>IF(IF(ISNA(INDEX(СГИ!$P$3:$AI$22,VLOOKUP($T35,СГИ!$N$3:$O$22,2),HLOOKUP(AB$6,СГИ!$P$1:$AI$2,2))),"",INDEX(СГИ!$P$3:$AI$22,VLOOKUP($T35,СГИ!$N$3:$O$22,2),HLOOKUP(AB$6,СГИ!$P$1:$AI$2,2)))=1,CONCATENATE("при измерении ",$T35," ",AB$34," не допускается ! "),"")</f>
      </c>
      <c r="AC35" s="277">
        <f>IF(IF(ISNA(INDEX(СГИ!$P$3:$AI$22,VLOOKUP($T35,СГИ!$N$3:$O$22,2),HLOOKUP(AC$6,СГИ!$P$1:$AI$2,2))),"",INDEX(СГИ!$P$3:$AI$22,VLOOKUP($T35,СГИ!$N$3:$O$22,2),HLOOKUP(AC$6,СГИ!$P$1:$AI$2,2)))=1,CONCATENATE("при измерении ",$T35," ",AC$34," не допускается ! "),"")</f>
      </c>
      <c r="AD35" s="277">
        <f>IF(IF(ISNA(INDEX(СГИ!$P$3:$AI$22,VLOOKUP($T35,СГИ!$N$3:$O$22,2),HLOOKUP(AD$6,СГИ!$P$1:$AI$2,2))),"",INDEX(СГИ!$P$3:$AI$22,VLOOKUP($T35,СГИ!$N$3:$O$22,2),HLOOKUP(AD$6,СГИ!$P$1:$AI$2,2)))=1,CONCATENATE("при измерении ",$T35," ",AD$34," не допускается ! "),"")</f>
      </c>
      <c r="AE35" s="277">
        <f>IF(IF(ISNA(INDEX(СГИ!$P$3:$AI$22,VLOOKUP($T35,СГИ!$N$3:$O$22,2),HLOOKUP(AE$6,СГИ!$P$1:$AI$2,2))),"",INDEX(СГИ!$P$3:$AI$22,VLOOKUP($T35,СГИ!$N$3:$O$22,2),HLOOKUP(AE$6,СГИ!$P$1:$AI$2,2)))=1,CONCATENATE("при измерении ",$T35," ",AE$34," не допускается ! "),"")</f>
      </c>
      <c r="AF35" s="277">
        <f>IF(IF(ISNA(INDEX(СГИ!$P$3:$AI$22,VLOOKUP($T35,СГИ!$N$3:$O$22,2),HLOOKUP(AF$6,СГИ!$P$1:$AI$2,2))),"",INDEX(СГИ!$P$3:$AI$22,VLOOKUP($T35,СГИ!$N$3:$O$22,2),HLOOKUP(AF$6,СГИ!$P$1:$AI$2,2)))=1,CONCATENATE("при измерении ",$T35," ",AF$34," не допускается ! "),"")</f>
      </c>
      <c r="AG35" s="277">
        <f>IF(IF(ISNA(INDEX(СГИ!$P$3:$AI$22,VLOOKUP($T35,СГИ!$N$3:$O$22,2),HLOOKUP(AG$6,СГИ!$P$1:$AI$2,2))),"",INDEX(СГИ!$P$3:$AI$22,VLOOKUP($T35,СГИ!$N$3:$O$22,2),HLOOKUP(AG$6,СГИ!$P$1:$AI$2,2)))=1,CONCATENATE("при измерении ",$T35," ",AG$34," не допускается ! "),"")</f>
      </c>
      <c r="AH35" s="277">
        <f>IF(IF(ISNA(INDEX(СГИ!$P$3:$AI$22,VLOOKUP($T35,СГИ!$N$3:$O$22,2),HLOOKUP(AH$6,СГИ!$P$1:$AI$2,2))),"",INDEX(СГИ!$P$3:$AI$22,VLOOKUP($T35,СГИ!$N$3:$O$22,2),HLOOKUP(AH$6,СГИ!$P$1:$AI$2,2)))=1,CONCATENATE("при измерении ",$T35," ",AH$34," не допускается ! "),"")</f>
      </c>
      <c r="AI35" s="277">
        <f>IF(IF(ISNA(INDEX(СГИ!$P$3:$AI$22,VLOOKUP($T35,СГИ!$N$3:$O$22,2),HLOOKUP(AI$6,СГИ!$P$1:$AI$2,2))),"",INDEX(СГИ!$P$3:$AI$22,VLOOKUP($T35,СГИ!$N$3:$O$22,2),HLOOKUP(AI$6,СГИ!$P$1:$AI$2,2)))=1,CONCATENATE("при измерении ",$T35," ",AI$34," не допускается ! "),"")</f>
      </c>
      <c r="AJ35" s="277">
        <f>IF(IF(ISNA(INDEX(СГИ!$P$3:$AI$22,VLOOKUP($T35,СГИ!$N$3:$O$22,2),HLOOKUP(AJ$6,СГИ!$P$1:$AI$2,2))),"",INDEX(СГИ!$P$3:$AI$22,VLOOKUP($T35,СГИ!$N$3:$O$22,2),HLOOKUP(AJ$6,СГИ!$P$1:$AI$2,2)))=1,CONCATENATE("при измерении ",$T35," ",AJ$34," не допускается ! "),"")</f>
      </c>
      <c r="AK35" s="277">
        <f>IF(IF(ISNA(INDEX(СГИ!$P$3:$AI$22,VLOOKUP($T35,СГИ!$N$3:$O$22,2),HLOOKUP(AK$6,СГИ!$P$1:$AI$2,2))),"",INDEX(СГИ!$P$3:$AI$22,VLOOKUP($T35,СГИ!$N$3:$O$22,2),HLOOKUP(AK$6,СГИ!$P$1:$AI$2,2)))=1,CONCATENATE("при измерении ",$T35," ",AK$34," не допускается ! "),"")</f>
      </c>
      <c r="AL35" s="277">
        <f>IF(IF(ISNA(INDEX(СГИ!$P$3:$AI$22,VLOOKUP($T35,СГИ!$N$3:$O$22,2),HLOOKUP(AL$6,СГИ!$P$1:$AI$2,2))),"",INDEX(СГИ!$P$3:$AI$22,VLOOKUP($T35,СГИ!$N$3:$O$22,2),HLOOKUP(AL$6,СГИ!$P$1:$AI$2,2)))=1,CONCATENATE("при измерении ",$T35," ",AL$34," не допускается ! "),"")</f>
      </c>
      <c r="AM35">
        <f>CONCATENATE(U35,V35,W35,X35,Y35,Z35,AA35,AB35,AC35,AD35,AE35,AF35,AG35,AH35,AI35,AJ35,AK35,AL35)</f>
      </c>
    </row>
    <row r="36" spans="2:39" ht="21.75" customHeight="1" thickBot="1">
      <c r="B36" s="278" t="s">
        <v>377</v>
      </c>
      <c r="C36" s="278" t="s">
        <v>136</v>
      </c>
      <c r="D36" s="332" t="s">
        <v>378</v>
      </c>
      <c r="E36" s="333"/>
      <c r="F36" s="280"/>
      <c r="G36" s="297"/>
      <c r="H36" s="267" t="s">
        <v>375</v>
      </c>
      <c r="J36" s="851"/>
      <c r="K36" s="852" t="str">
        <f>IF(SUM(O38:O40)&gt;MAX(O38:O40),"(каналы углеводородов неселективны)",P55)</f>
        <v>(введите необходимые данные)</v>
      </c>
      <c r="L36" s="282">
        <f aca="true" t="shared" si="9" ref="L36:L52">IF(AND(E36&gt;0,SUM(E$35:E$52)&lt;17),IF(AND(OR(F36=1,F36=2,F36=3),NOT(E$55=1)),F36,IF(OR(F36="",E$55=1),1,"")),"")</f>
      </c>
      <c r="M36" s="281">
        <f>IF(OR($E36&gt;0,B37*O37&gt;0,B38*O38&gt;0,B39*O39&gt;0,B40*O40&gt;0),$D36,"")</f>
      </c>
      <c r="N36" s="283">
        <f>IF(AND($O36&gt;1,$O36&lt;17),CONCATENATE("-",$O36,$M36),IF($O36=1,CONCATENATE("-",$M36),""))</f>
      </c>
      <c r="O36" s="284">
        <f>IF(M36="",0,E36+IF(AND(OR(B37=1,B37=0),OR(B38=1,B38=0),OR(B39=1,B39=0),OR(B40=1,B40=0)),SUMPRODUCT(B37:B40,E37:E40),0))</f>
        <v>0</v>
      </c>
      <c r="P36" s="285">
        <f t="shared" si="7"/>
        <v>0</v>
      </c>
      <c r="Q36" s="273">
        <f>IF(SUM($E$35:$E$52)&gt;8,IF(OR(D36="O3"),"--",VLOOKUP(D36,СГИ!$A$8:$G$27,3,TRUE)+VLOOKUP(D36,СГИ!$A$8:$G$27,2,TRUE)),VLOOKUP(D36,СГИ!$A$8:$G$27,3,TRUE))</f>
        <v>8060</v>
      </c>
      <c r="R36" s="274">
        <f>IF(O36&gt;0,VLOOKUP(S36,СГИ!$A$8:$G$27,5,TRUE),"")</f>
      </c>
      <c r="S36" s="274">
        <f t="shared" si="8"/>
      </c>
      <c r="T36" s="276">
        <f>IF(S36="","",S36)</f>
      </c>
      <c r="U36" s="277">
        <f>IF(IF(ISNA(INDEX(СГИ!$P$3:$AI$22,VLOOKUP($T36,СГИ!$N$3:$O$22,2),HLOOKUP(U$6,СГИ!$P$1:$AI$2,2))),"",INDEX(СГИ!$P$3:$AI$22,VLOOKUP($T36,СГИ!$N$3:$O$22,2),HLOOKUP(U$6,СГИ!$P$1:$AI$2,2)))=1,CONCATENATE("при измерении ",$T36," ",U$34," не допускается ! "),"")</f>
      </c>
      <c r="V36" s="277">
        <f>IF(IF(ISNA(INDEX(СГИ!$P$3:$AI$22,VLOOKUP($T36,СГИ!$N$3:$O$22,2),HLOOKUP(V$6,СГИ!$P$1:$AI$2,2))),"",INDEX(СГИ!$P$3:$AI$22,VLOOKUP($T36,СГИ!$N$3:$O$22,2),HLOOKUP(V$6,СГИ!$P$1:$AI$2,2)))=1,CONCATENATE("при измерении ",$T36," ",V$34," не допускается ! "),"")</f>
      </c>
      <c r="W36" s="277">
        <f>IF(IF(ISNA(INDEX(СГИ!$P$3:$AI$22,VLOOKUP($T36,СГИ!$N$3:$O$22,2),HLOOKUP(W$6,СГИ!$P$1:$AI$2,2))),"",INDEX(СГИ!$P$3:$AI$22,VLOOKUP($T36,СГИ!$N$3:$O$22,2),HLOOKUP(W$6,СГИ!$P$1:$AI$2,2)))=1,CONCATENATE("при измерении ",$T36," ",W$34," не допускается ! "),"")</f>
      </c>
      <c r="X36" s="277">
        <f>IF(IF(ISNA(INDEX(СГИ!$P$3:$AI$22,VLOOKUP($T36,СГИ!$N$3:$O$22,2),HLOOKUP(X$6,СГИ!$P$1:$AI$2,2))),"",INDEX(СГИ!$P$3:$AI$22,VLOOKUP($T36,СГИ!$N$3:$O$22,2),HLOOKUP(X$6,СГИ!$P$1:$AI$2,2)))=1,CONCATENATE("при измерении ",$T36," ",X$34," не допускается ! "),"")</f>
      </c>
      <c r="Y36" s="277">
        <f>IF(IF(ISNA(INDEX(СГИ!$P$3:$AI$22,VLOOKUP($T36,СГИ!$N$3:$O$22,2),HLOOKUP(Y$6,СГИ!$P$1:$AI$2,2))),"",INDEX(СГИ!$P$3:$AI$22,VLOOKUP($T36,СГИ!$N$3:$O$22,2),HLOOKUP(Y$6,СГИ!$P$1:$AI$2,2)))=1,CONCATENATE("при измерении ",$T36," ",Y$34," не допускается ! "),"")</f>
      </c>
      <c r="Z36" s="277">
        <f>IF(IF(ISNA(INDEX(СГИ!$P$3:$AI$22,VLOOKUP($T36,СГИ!$N$3:$O$22,2),HLOOKUP(Z$6,СГИ!$P$1:$AI$2,2))),"",INDEX(СГИ!$P$3:$AI$22,VLOOKUP($T36,СГИ!$N$3:$O$22,2),HLOOKUP(Z$6,СГИ!$P$1:$AI$2,2)))=1,CONCATENATE("при измерении ",$T36," ",Z$34," не допускается ! "),"")</f>
      </c>
      <c r="AA36" s="277">
        <f>IF(IF(ISNA(INDEX(СГИ!$P$3:$AI$22,VLOOKUP($T36,СГИ!$N$3:$O$22,2),HLOOKUP(AA$6,СГИ!$P$1:$AI$2,2))),"",INDEX(СГИ!$P$3:$AI$22,VLOOKUP($T36,СГИ!$N$3:$O$22,2),HLOOKUP(AA$6,СГИ!$P$1:$AI$2,2)))=1,CONCATENATE("при измерении ",$T36," ",AA$34," не допускается ! "),"")</f>
      </c>
      <c r="AB36" s="277">
        <f>IF(IF(ISNA(INDEX(СГИ!$P$3:$AI$22,VLOOKUP($T36,СГИ!$N$3:$O$22,2),HLOOKUP(AB$6,СГИ!$P$1:$AI$2,2))),"",INDEX(СГИ!$P$3:$AI$22,VLOOKUP($T36,СГИ!$N$3:$O$22,2),HLOOKUP(AB$6,СГИ!$P$1:$AI$2,2)))=1,CONCATENATE("при измерении ",$T36," ",AB$34," не допускается ! "),"")</f>
      </c>
      <c r="AC36" s="277">
        <f>IF(IF(ISNA(INDEX(СГИ!$P$3:$AI$22,VLOOKUP($T36,СГИ!$N$3:$O$22,2),HLOOKUP(AC$6,СГИ!$P$1:$AI$2,2))),"",INDEX(СГИ!$P$3:$AI$22,VLOOKUP($T36,СГИ!$N$3:$O$22,2),HLOOKUP(AC$6,СГИ!$P$1:$AI$2,2)))=1,CONCATENATE("при измерении ",$T36," ",AC$34," не допускается ! "),"")</f>
      </c>
      <c r="AD36" s="277">
        <f>IF(IF(ISNA(INDEX(СГИ!$P$3:$AI$22,VLOOKUP($T36,СГИ!$N$3:$O$22,2),HLOOKUP(AD$6,СГИ!$P$1:$AI$2,2))),"",INDEX(СГИ!$P$3:$AI$22,VLOOKUP($T36,СГИ!$N$3:$O$22,2),HLOOKUP(AD$6,СГИ!$P$1:$AI$2,2)))=1,CONCATENATE("при измерении ",$T36," ",AD$34," не допускается ! "),"")</f>
      </c>
      <c r="AE36" s="277">
        <f>IF(IF(ISNA(INDEX(СГИ!$P$3:$AI$22,VLOOKUP($T36,СГИ!$N$3:$O$22,2),HLOOKUP(AE$6,СГИ!$P$1:$AI$2,2))),"",INDEX(СГИ!$P$3:$AI$22,VLOOKUP($T36,СГИ!$N$3:$O$22,2),HLOOKUP(AE$6,СГИ!$P$1:$AI$2,2)))=1,CONCATENATE("при измерении ",$T36," ",AE$34," не допускается ! "),"")</f>
      </c>
      <c r="AF36" s="277">
        <f>IF(IF(ISNA(INDEX(СГИ!$P$3:$AI$22,VLOOKUP($T36,СГИ!$N$3:$O$22,2),HLOOKUP(AF$6,СГИ!$P$1:$AI$2,2))),"",INDEX(СГИ!$P$3:$AI$22,VLOOKUP($T36,СГИ!$N$3:$O$22,2),HLOOKUP(AF$6,СГИ!$P$1:$AI$2,2)))=1,CONCATENATE("при измерении ",$T36," ",AF$34," не допускается ! "),"")</f>
      </c>
      <c r="AG36" s="277">
        <f>IF(IF(ISNA(INDEX(СГИ!$P$3:$AI$22,VLOOKUP($T36,СГИ!$N$3:$O$22,2),HLOOKUP(AG$6,СГИ!$P$1:$AI$2,2))),"",INDEX(СГИ!$P$3:$AI$22,VLOOKUP($T36,СГИ!$N$3:$O$22,2),HLOOKUP(AG$6,СГИ!$P$1:$AI$2,2)))=1,CONCATENATE("при измерении ",$T36," ",AG$34," не допускается ! "),"")</f>
      </c>
      <c r="AH36" s="277">
        <f>IF(IF(ISNA(INDEX(СГИ!$P$3:$AI$22,VLOOKUP($T36,СГИ!$N$3:$O$22,2),HLOOKUP(AH$6,СГИ!$P$1:$AI$2,2))),"",INDEX(СГИ!$P$3:$AI$22,VLOOKUP($T36,СГИ!$N$3:$O$22,2),HLOOKUP(AH$6,СГИ!$P$1:$AI$2,2)))=1,CONCATENATE("при измерении ",$T36," ",AH$34," не допускается ! "),"")</f>
      </c>
      <c r="AI36" s="277">
        <f>IF(IF(ISNA(INDEX(СГИ!$P$3:$AI$22,VLOOKUP($T36,СГИ!$N$3:$O$22,2),HLOOKUP(AI$6,СГИ!$P$1:$AI$2,2))),"",INDEX(СГИ!$P$3:$AI$22,VLOOKUP($T36,СГИ!$N$3:$O$22,2),HLOOKUP(AI$6,СГИ!$P$1:$AI$2,2)))=1,CONCATENATE("при измерении ",$T36," ",AI$34," не допускается ! "),"")</f>
      </c>
      <c r="AJ36" s="277">
        <f>IF(IF(ISNA(INDEX(СГИ!$P$3:$AI$22,VLOOKUP($T36,СГИ!$N$3:$O$22,2),HLOOKUP(AJ$6,СГИ!$P$1:$AI$2,2))),"",INDEX(СГИ!$P$3:$AI$22,VLOOKUP($T36,СГИ!$N$3:$O$22,2),HLOOKUP(AJ$6,СГИ!$P$1:$AI$2,2)))=1,CONCATENATE("при измерении ",$T36," ",AJ$34," не допускается ! "),"")</f>
      </c>
      <c r="AK36" s="277">
        <f>IF(IF(ISNA(INDEX(СГИ!$P$3:$AI$22,VLOOKUP($T36,СГИ!$N$3:$O$22,2),HLOOKUP(AK$6,СГИ!$P$1:$AI$2,2))),"",INDEX(СГИ!$P$3:$AI$22,VLOOKUP($T36,СГИ!$N$3:$O$22,2),HLOOKUP(AK$6,СГИ!$P$1:$AI$2,2)))=1,CONCATENATE("при измерении ",$T36," ",AK$34," не допускается ! "),"")</f>
      </c>
      <c r="AL36" s="277">
        <f>IF(IF(ISNA(INDEX(СГИ!$P$3:$AI$22,VLOOKUP($T36,СГИ!$N$3:$O$22,2),HLOOKUP(AL$6,СГИ!$P$1:$AI$2,2))),"",INDEX(СГИ!$P$3:$AI$22,VLOOKUP($T36,СГИ!$N$3:$O$22,2),HLOOKUP(AL$6,СГИ!$P$1:$AI$2,2)))=1,CONCATENATE("при измерении ",$T36," ",AL$34," не допускается ! "),"")</f>
      </c>
      <c r="AM36">
        <f aca="true" t="shared" si="10" ref="AM36:AM52">CONCATENATE(U36,V36,W36,X36,Y36,Z36,AA36,AB36,AC36,AD36,AE36,AF36,AG36,AH36,AI36,AJ36,AK36,AL36)</f>
      </c>
    </row>
    <row r="37" spans="1:39" ht="32.25" customHeight="1">
      <c r="A37" s="286" t="s">
        <v>379</v>
      </c>
      <c r="B37" s="287"/>
      <c r="C37" s="288"/>
      <c r="D37" s="289" t="s">
        <v>380</v>
      </c>
      <c r="E37" s="333"/>
      <c r="F37" s="280"/>
      <c r="G37" s="280"/>
      <c r="H37" s="267" t="s">
        <v>375</v>
      </c>
      <c r="J37" s="853" t="s">
        <v>383</v>
      </c>
      <c r="K37" s="854" t="str">
        <f>IF(AND(SUMPRODUCT(O35:O52,P35:P52)&gt;0,NOT(E54=1),NOT(E55=1),NOT(C53=1),NOT(K35="превышение числа каналов"),P36=0),IF(AND(O37&gt;P37-1,O38&gt;P38-1,O39&gt;P39-1,O40&gt;P40-1,O41&gt;P41-1),IF(E53=1,"взрывозащита предусмотрена","взрывозащита выбранных каналов предусмотрена"),"проверьте ввод данных"),"взрывозащита НЕ предусмотрена")</f>
        <v>взрывозащита НЕ предусмотрена</v>
      </c>
      <c r="L37" s="876">
        <f t="shared" si="9"/>
      </c>
      <c r="M37" s="291">
        <f>IF(OR($E37&gt;0,C38*O38&gt;0,C39*O39&gt;0,C40*O40&gt;0),D37,"")</f>
      </c>
      <c r="N37" s="283">
        <f>IF(AND($O37&gt;1,$O37&lt;17),CONCATENATE("-",$O37,"CO"),IF($O37=1,CONCATENATE("-","CO"),""))</f>
      </c>
      <c r="O37" s="284">
        <f>IF(M37="",0,E37+IF(AND(OR(C38=1,C38=0),OR(C39=1,C39=0),OR(C40=1,C40=0)),SUMPRODUCT(C38:C40,E38:E40),0))</f>
        <v>0</v>
      </c>
      <c r="P37" s="285">
        <f t="shared" si="7"/>
        <v>0</v>
      </c>
      <c r="Q37" s="273">
        <f>IF(SUM($E$35:$E$52)&gt;8,IF(OR(D37="O3"),"--",VLOOKUP(D37,СГИ!$A$8:$G$27,3,TRUE)+VLOOKUP(D37,СГИ!$A$8:$G$27,2,TRUE)),VLOOKUP(D37,СГИ!$A$8:$G$27,3,TRUE))</f>
        <v>8060</v>
      </c>
      <c r="R37" s="274">
        <f>IF(O37&gt;0,VLOOKUP(S37,СГИ!$A$8:$G$27,5,TRUE),"")</f>
      </c>
      <c r="S37" s="274">
        <f t="shared" si="8"/>
      </c>
      <c r="T37" s="276">
        <f>IF(S37="","","CO горюч.")</f>
      </c>
      <c r="U37" s="277">
        <f>IF(IF(ISNA(INDEX(СГИ!$P$3:$AI$22,VLOOKUP($T37,СГИ!$N$3:$O$22,2),HLOOKUP(U$6,СГИ!$P$1:$AI$2,2))),"",INDEX(СГИ!$P$3:$AI$22,VLOOKUP($T37,СГИ!$N$3:$O$22,2),HLOOKUP(U$6,СГИ!$P$1:$AI$2,2)))=1,CONCATENATE("при измерении ",$T37," ",U$34," не допускается ! "),"")</f>
      </c>
      <c r="V37" s="277">
        <f>IF(IF(ISNA(INDEX(СГИ!$P$3:$AI$22,VLOOKUP($T37,СГИ!$N$3:$O$22,2),HLOOKUP(V$6,СГИ!$P$1:$AI$2,2))),"",INDEX(СГИ!$P$3:$AI$22,VLOOKUP($T37,СГИ!$N$3:$O$22,2),HLOOKUP(V$6,СГИ!$P$1:$AI$2,2)))=1,CONCATENATE("при измерении ",$T37," ",V$34," не допускается ! "),"")</f>
      </c>
      <c r="W37" s="277">
        <f>IF(IF(ISNA(INDEX(СГИ!$P$3:$AI$22,VLOOKUP($T37,СГИ!$N$3:$O$22,2),HLOOKUP(W$6,СГИ!$P$1:$AI$2,2))),"",INDEX(СГИ!$P$3:$AI$22,VLOOKUP($T37,СГИ!$N$3:$O$22,2),HLOOKUP(W$6,СГИ!$P$1:$AI$2,2)))=1,CONCATENATE("при измерении ",$T37," ",W$34," не допускается ! "),"")</f>
      </c>
      <c r="X37" s="277">
        <f>IF(IF(ISNA(INDEX(СГИ!$P$3:$AI$22,VLOOKUP($T37,СГИ!$N$3:$O$22,2),HLOOKUP(X$6,СГИ!$P$1:$AI$2,2))),"",INDEX(СГИ!$P$3:$AI$22,VLOOKUP($T37,СГИ!$N$3:$O$22,2),HLOOKUP(X$6,СГИ!$P$1:$AI$2,2)))=1,CONCATENATE("при измерении ",$T37," ",X$34," не допускается ! "),"")</f>
      </c>
      <c r="Y37" s="277">
        <f>IF(IF(ISNA(INDEX(СГИ!$P$3:$AI$22,VLOOKUP($T37,СГИ!$N$3:$O$22,2),HLOOKUP(Y$6,СГИ!$P$1:$AI$2,2))),"",INDEX(СГИ!$P$3:$AI$22,VLOOKUP($T37,СГИ!$N$3:$O$22,2),HLOOKUP(Y$6,СГИ!$P$1:$AI$2,2)))=1,CONCATENATE("при измерении ",$T37," ",Y$34," не допускается ! "),"")</f>
      </c>
      <c r="Z37" s="277">
        <f>IF(IF(ISNA(INDEX(СГИ!$P$3:$AI$22,VLOOKUP($T37,СГИ!$N$3:$O$22,2),HLOOKUP(Z$6,СГИ!$P$1:$AI$2,2))),"",INDEX(СГИ!$P$3:$AI$22,VLOOKUP($T37,СГИ!$N$3:$O$22,2),HLOOKUP(Z$6,СГИ!$P$1:$AI$2,2)))=1,CONCATENATE("при измерении ",$T37," ",Z$34," не допускается ! "),"")</f>
      </c>
      <c r="AA37" s="277">
        <f>IF(IF(ISNA(INDEX(СГИ!$P$3:$AI$22,VLOOKUP($T37,СГИ!$N$3:$O$22,2),HLOOKUP(AA$6,СГИ!$P$1:$AI$2,2))),"",INDEX(СГИ!$P$3:$AI$22,VLOOKUP($T37,СГИ!$N$3:$O$22,2),HLOOKUP(AA$6,СГИ!$P$1:$AI$2,2)))=1,CONCATENATE("при измерении ",$T37," ",AA$34," не допускается ! "),"")</f>
      </c>
      <c r="AB37" s="277">
        <f>IF(IF(ISNA(INDEX(СГИ!$P$3:$AI$22,VLOOKUP($T37,СГИ!$N$3:$O$22,2),HLOOKUP(AB$6,СГИ!$P$1:$AI$2,2))),"",INDEX(СГИ!$P$3:$AI$22,VLOOKUP($T37,СГИ!$N$3:$O$22,2),HLOOKUP(AB$6,СГИ!$P$1:$AI$2,2)))=1,CONCATENATE("при измерении ",$T37," ",AB$34," не допускается ! "),"")</f>
      </c>
      <c r="AC37" s="277">
        <f>IF(IF(ISNA(INDEX(СГИ!$P$3:$AI$22,VLOOKUP($T37,СГИ!$N$3:$O$22,2),HLOOKUP(AC$6,СГИ!$P$1:$AI$2,2))),"",INDEX(СГИ!$P$3:$AI$22,VLOOKUP($T37,СГИ!$N$3:$O$22,2),HLOOKUP(AC$6,СГИ!$P$1:$AI$2,2)))=1,CONCATENATE("при измерении ",$T37," ",AC$34," не допускается ! "),"")</f>
      </c>
      <c r="AD37" s="277">
        <f>IF(IF(ISNA(INDEX(СГИ!$P$3:$AI$22,VLOOKUP($T37,СГИ!$N$3:$O$22,2),HLOOKUP(AD$6,СГИ!$P$1:$AI$2,2))),"",INDEX(СГИ!$P$3:$AI$22,VLOOKUP($T37,СГИ!$N$3:$O$22,2),HLOOKUP(AD$6,СГИ!$P$1:$AI$2,2)))=1,CONCATENATE("при измерении ",$T37," ",AD$34," не допускается ! "),"")</f>
      </c>
      <c r="AE37" s="277">
        <f>IF(IF(ISNA(INDEX(СГИ!$P$3:$AI$22,VLOOKUP($T37,СГИ!$N$3:$O$22,2),HLOOKUP(AE$6,СГИ!$P$1:$AI$2,2))),"",INDEX(СГИ!$P$3:$AI$22,VLOOKUP($T37,СГИ!$N$3:$O$22,2),HLOOKUP(AE$6,СГИ!$P$1:$AI$2,2)))=1,CONCATENATE("при измерении ",$T37," ",AE$34," не допускается ! "),"")</f>
      </c>
      <c r="AF37" s="277">
        <f>IF(IF(ISNA(INDEX(СГИ!$P$3:$AI$22,VLOOKUP($T37,СГИ!$N$3:$O$22,2),HLOOKUP(AF$6,СГИ!$P$1:$AI$2,2))),"",INDEX(СГИ!$P$3:$AI$22,VLOOKUP($T37,СГИ!$N$3:$O$22,2),HLOOKUP(AF$6,СГИ!$P$1:$AI$2,2)))=1,CONCATENATE("при измерении ",$T37," ",AF$34," не допускается ! "),"")</f>
      </c>
      <c r="AG37" s="277">
        <f>IF(IF(ISNA(INDEX(СГИ!$P$3:$AI$22,VLOOKUP($T37,СГИ!$N$3:$O$22,2),HLOOKUP(AG$6,СГИ!$P$1:$AI$2,2))),"",INDEX(СГИ!$P$3:$AI$22,VLOOKUP($T37,СГИ!$N$3:$O$22,2),HLOOKUP(AG$6,СГИ!$P$1:$AI$2,2)))=1,CONCATENATE("при измерении ",$T37," ",AG$34," не допускается ! "),"")</f>
      </c>
      <c r="AH37" s="277">
        <f>IF(IF(ISNA(INDEX(СГИ!$P$3:$AI$22,VLOOKUP($T37,СГИ!$N$3:$O$22,2),HLOOKUP(AH$6,СГИ!$P$1:$AI$2,2))),"",INDEX(СГИ!$P$3:$AI$22,VLOOKUP($T37,СГИ!$N$3:$O$22,2),HLOOKUP(AH$6,СГИ!$P$1:$AI$2,2)))=1,CONCATENATE("при измерении ",$T37," ",AH$34," не допускается ! "),"")</f>
      </c>
      <c r="AI37" s="277">
        <f>IF(IF(ISNA(INDEX(СГИ!$P$3:$AI$22,VLOOKUP($T37,СГИ!$N$3:$O$22,2),HLOOKUP(AI$6,СГИ!$P$1:$AI$2,2))),"",INDEX(СГИ!$P$3:$AI$22,VLOOKUP($T37,СГИ!$N$3:$O$22,2),HLOOKUP(AI$6,СГИ!$P$1:$AI$2,2)))=1,CONCATENATE("при измерении ",$T37," ",AI$34," не допускается ! "),"")</f>
      </c>
      <c r="AJ37" s="277">
        <f>IF(IF(ISNA(INDEX(СГИ!$P$3:$AI$22,VLOOKUP($T37,СГИ!$N$3:$O$22,2),HLOOKUP(AJ$6,СГИ!$P$1:$AI$2,2))),"",INDEX(СГИ!$P$3:$AI$22,VLOOKUP($T37,СГИ!$N$3:$O$22,2),HLOOKUP(AJ$6,СГИ!$P$1:$AI$2,2)))=1,CONCATENATE("при измерении ",$T37," ",AJ$34," не допускается ! "),"")</f>
      </c>
      <c r="AK37" s="277">
        <f>IF(IF(ISNA(INDEX(СГИ!$P$3:$AI$22,VLOOKUP($T37,СГИ!$N$3:$O$22,2),HLOOKUP(AK$6,СГИ!$P$1:$AI$2,2))),"",INDEX(СГИ!$P$3:$AI$22,VLOOKUP($T37,СГИ!$N$3:$O$22,2),HLOOKUP(AK$6,СГИ!$P$1:$AI$2,2)))=1,CONCATENATE("при измерении ",$T37," ",AK$34," не допускается ! "),"")</f>
      </c>
      <c r="AL37" s="277">
        <f>IF(IF(ISNA(INDEX(СГИ!$P$3:$AI$22,VLOOKUP($T37,СГИ!$N$3:$O$22,2),HLOOKUP(AL$6,СГИ!$P$1:$AI$2,2))),"",INDEX(СГИ!$P$3:$AI$22,VLOOKUP($T37,СГИ!$N$3:$O$22,2),HLOOKUP(AL$6,СГИ!$P$1:$AI$2,2)))=1,CONCATENATE("при измерении ",$T37," ",AL$34," не допускается ! "),"")</f>
      </c>
      <c r="AM37">
        <f t="shared" si="10"/>
      </c>
    </row>
    <row r="38" spans="1:39" ht="18.75" customHeight="1">
      <c r="A38" s="286" t="s">
        <v>379</v>
      </c>
      <c r="B38" s="287"/>
      <c r="C38" s="287"/>
      <c r="D38" s="289" t="s">
        <v>384</v>
      </c>
      <c r="E38" s="333"/>
      <c r="F38" s="280"/>
      <c r="G38" s="280"/>
      <c r="H38" s="267" t="s">
        <v>375</v>
      </c>
      <c r="J38" s="853" t="s">
        <v>385</v>
      </c>
      <c r="K38" s="855" t="str">
        <f>IF(AND(MIN(E35:E52)&gt;-1,MIN(F35:F52)&gt;-1),IF(MAX(F35:F52)&gt;3,"число порогов в канале от 1 до 3",IF(MAX(E35:E52)&gt;0,ROUNDUP((2+SUMPRODUCT(E35:E52,L35:L52))/10,0),"укажите кол.каналов")),"--")</f>
        <v>укажите кол.каналов</v>
      </c>
      <c r="L38" s="282">
        <f>IF(AND(E$53=1,OR(E$52&gt;0,E$41&gt;0)),"",IF(AND(E38&gt;0,SUM(E$35:E$52)&lt;17),IF(AND(OR(F38=1,F38=2,F38=3),NOT(E$55=1)),F38,IF(OR(F38="",E$55=1),1,"")),""))</f>
      </c>
      <c r="M38" s="281">
        <f>IF(E38&gt;0,D38,"")</f>
      </c>
      <c r="N38" s="283">
        <f>IF(AND($O38&gt;1,$O38&lt;17),CONCATENATE("-",$O38,$M38),IF($O38=1,CONCATENATE("-",$M38),""))</f>
      </c>
      <c r="O38" s="284">
        <f>IF(M38="",0,E38)</f>
        <v>0</v>
      </c>
      <c r="P38" s="285">
        <f t="shared" si="7"/>
        <v>0</v>
      </c>
      <c r="Q38" s="273">
        <f>IF(SUM($E$35:$E$52)&gt;8,IF(OR(D38="O3"),"--",VLOOKUP(D38,СГИ!$A$8:$G$27,3,TRUE)+VLOOKUP(D38,СГИ!$A$8:$G$27,2,TRUE)),VLOOKUP(D38,СГИ!$A$8:$G$27,3,TRUE))</f>
        <v>6550</v>
      </c>
      <c r="R38" s="274">
        <f>IF(O38&gt;0,VLOOKUP(S38,СГИ!$A$8:$G$27,5,TRUE),"")</f>
      </c>
      <c r="S38" s="274">
        <f t="shared" si="8"/>
      </c>
      <c r="T38" s="276">
        <f>IF(S38="","",S38)</f>
      </c>
      <c r="U38" s="277">
        <f>IF(IF(ISNA(INDEX(СГИ!$P$3:$AI$22,VLOOKUP($T38,СГИ!$N$3:$O$22,2),HLOOKUP(U$6,СГИ!$P$1:$AI$2,2))),"",INDEX(СГИ!$P$3:$AI$22,VLOOKUP($T38,СГИ!$N$3:$O$22,2),HLOOKUP(U$6,СГИ!$P$1:$AI$2,2)))=1,CONCATENATE("при измерении ",$T38," ",U$34," не допускается ! "),"")</f>
      </c>
      <c r="V38" s="277">
        <f>IF(IF(ISNA(INDEX(СГИ!$P$3:$AI$22,VLOOKUP($T38,СГИ!$N$3:$O$22,2),HLOOKUP(V$6,СГИ!$P$1:$AI$2,2))),"",INDEX(СГИ!$P$3:$AI$22,VLOOKUP($T38,СГИ!$N$3:$O$22,2),HLOOKUP(V$6,СГИ!$P$1:$AI$2,2)))=1,CONCATENATE("при измерении ",$T38," ",V$34," не допускается ! "),"")</f>
      </c>
      <c r="W38" s="277">
        <f>IF(IF(ISNA(INDEX(СГИ!$P$3:$AI$22,VLOOKUP($T38,СГИ!$N$3:$O$22,2),HLOOKUP(W$6,СГИ!$P$1:$AI$2,2))),"",INDEX(СГИ!$P$3:$AI$22,VLOOKUP($T38,СГИ!$N$3:$O$22,2),HLOOKUP(W$6,СГИ!$P$1:$AI$2,2)))=1,CONCATENATE("при измерении ",$T38," ",W$34," не допускается ! "),"")</f>
      </c>
      <c r="X38" s="277">
        <f>IF(IF(ISNA(INDEX(СГИ!$P$3:$AI$22,VLOOKUP($T38,СГИ!$N$3:$O$22,2),HLOOKUP(X$6,СГИ!$P$1:$AI$2,2))),"",INDEX(СГИ!$P$3:$AI$22,VLOOKUP($T38,СГИ!$N$3:$O$22,2),HLOOKUP(X$6,СГИ!$P$1:$AI$2,2)))=1,CONCATENATE("при измерении ",$T38," ",X$34," не допускается ! "),"")</f>
      </c>
      <c r="Y38" s="277">
        <f>IF(IF(ISNA(INDEX(СГИ!$P$3:$AI$22,VLOOKUP($T38,СГИ!$N$3:$O$22,2),HLOOKUP(Y$6,СГИ!$P$1:$AI$2,2))),"",INDEX(СГИ!$P$3:$AI$22,VLOOKUP($T38,СГИ!$N$3:$O$22,2),HLOOKUP(Y$6,СГИ!$P$1:$AI$2,2)))=1,CONCATENATE("при измерении ",$T38," ",Y$34," не допускается ! "),"")</f>
      </c>
      <c r="Z38" s="277">
        <f>IF(IF(ISNA(INDEX(СГИ!$P$3:$AI$22,VLOOKUP($T38,СГИ!$N$3:$O$22,2),HLOOKUP(Z$6,СГИ!$P$1:$AI$2,2))),"",INDEX(СГИ!$P$3:$AI$22,VLOOKUP($T38,СГИ!$N$3:$O$22,2),HLOOKUP(Z$6,СГИ!$P$1:$AI$2,2)))=1,CONCATENATE("при измерении ",$T38," ",Z$34," не допускается ! "),"")</f>
      </c>
      <c r="AA38" s="277">
        <f>IF(IF(ISNA(INDEX(СГИ!$P$3:$AI$22,VLOOKUP($T38,СГИ!$N$3:$O$22,2),HLOOKUP(AA$6,СГИ!$P$1:$AI$2,2))),"",INDEX(СГИ!$P$3:$AI$22,VLOOKUP($T38,СГИ!$N$3:$O$22,2),HLOOKUP(AA$6,СГИ!$P$1:$AI$2,2)))=1,CONCATENATE("при измерении ",$T38," ",AA$34," не допускается ! "),"")</f>
      </c>
      <c r="AB38" s="277">
        <f>IF(IF(ISNA(INDEX(СГИ!$P$3:$AI$22,VLOOKUP($T38,СГИ!$N$3:$O$22,2),HLOOKUP(AB$6,СГИ!$P$1:$AI$2,2))),"",INDEX(СГИ!$P$3:$AI$22,VLOOKUP($T38,СГИ!$N$3:$O$22,2),HLOOKUP(AB$6,СГИ!$P$1:$AI$2,2)))=1,CONCATENATE("при измерении ",$T38," ",AB$34," не допускается ! "),"")</f>
      </c>
      <c r="AC38" s="277">
        <f>IF(IF(ISNA(INDEX(СГИ!$P$3:$AI$22,VLOOKUP($T38,СГИ!$N$3:$O$22,2),HLOOKUP(AC$6,СГИ!$P$1:$AI$2,2))),"",INDEX(СГИ!$P$3:$AI$22,VLOOKUP($T38,СГИ!$N$3:$O$22,2),HLOOKUP(AC$6,СГИ!$P$1:$AI$2,2)))=1,CONCATENATE("при измерении ",$T38," ",AC$34," не допускается ! "),"")</f>
      </c>
      <c r="AD38" s="277">
        <f>IF(IF(ISNA(INDEX(СГИ!$P$3:$AI$22,VLOOKUP($T38,СГИ!$N$3:$O$22,2),HLOOKUP(AD$6,СГИ!$P$1:$AI$2,2))),"",INDEX(СГИ!$P$3:$AI$22,VLOOKUP($T38,СГИ!$N$3:$O$22,2),HLOOKUP(AD$6,СГИ!$P$1:$AI$2,2)))=1,CONCATENATE("при измерении ",$T38," ",AD$34," не допускается ! "),"")</f>
      </c>
      <c r="AE38" s="277">
        <f>IF(IF(ISNA(INDEX(СГИ!$P$3:$AI$22,VLOOKUP($T38,СГИ!$N$3:$O$22,2),HLOOKUP(AE$6,СГИ!$P$1:$AI$2,2))),"",INDEX(СГИ!$P$3:$AI$22,VLOOKUP($T38,СГИ!$N$3:$O$22,2),HLOOKUP(AE$6,СГИ!$P$1:$AI$2,2)))=1,CONCATENATE("при измерении ",$T38," ",AE$34," не допускается ! "),"")</f>
      </c>
      <c r="AF38" s="277">
        <f>IF(IF(ISNA(INDEX(СГИ!$P$3:$AI$22,VLOOKUP($T38,СГИ!$N$3:$O$22,2),HLOOKUP(AF$6,СГИ!$P$1:$AI$2,2))),"",INDEX(СГИ!$P$3:$AI$22,VLOOKUP($T38,СГИ!$N$3:$O$22,2),HLOOKUP(AF$6,СГИ!$P$1:$AI$2,2)))=1,CONCATENATE("при измерении ",$T38," ",AF$34," не допускается ! "),"")</f>
      </c>
      <c r="AG38" s="277">
        <f>IF(IF(ISNA(INDEX(СГИ!$P$3:$AI$22,VLOOKUP($T38,СГИ!$N$3:$O$22,2),HLOOKUP(AG$6,СГИ!$P$1:$AI$2,2))),"",INDEX(СГИ!$P$3:$AI$22,VLOOKUP($T38,СГИ!$N$3:$O$22,2),HLOOKUP(AG$6,СГИ!$P$1:$AI$2,2)))=1,CONCATENATE("при измерении ",$T38," ",AG$34," не допускается ! "),"")</f>
      </c>
      <c r="AH38" s="277">
        <f>IF(IF(ISNA(INDEX(СГИ!$P$3:$AI$22,VLOOKUP($T38,СГИ!$N$3:$O$22,2),HLOOKUP(AH$6,СГИ!$P$1:$AI$2,2))),"",INDEX(СГИ!$P$3:$AI$22,VLOOKUP($T38,СГИ!$N$3:$O$22,2),HLOOKUP(AH$6,СГИ!$P$1:$AI$2,2)))=1,CONCATENATE("при измерении ",$T38," ",AH$34," не допускается ! "),"")</f>
      </c>
      <c r="AI38" s="277">
        <f>IF(IF(ISNA(INDEX(СГИ!$P$3:$AI$22,VLOOKUP($T38,СГИ!$N$3:$O$22,2),HLOOKUP(AI$6,СГИ!$P$1:$AI$2,2))),"",INDEX(СГИ!$P$3:$AI$22,VLOOKUP($T38,СГИ!$N$3:$O$22,2),HLOOKUP(AI$6,СГИ!$P$1:$AI$2,2)))=1,CONCATENATE("при измерении ",$T38," ",AI$34," не допускается ! "),"")</f>
      </c>
      <c r="AJ38" s="277">
        <f>IF(IF(ISNA(INDEX(СГИ!$P$3:$AI$22,VLOOKUP($T38,СГИ!$N$3:$O$22,2),HLOOKUP(AJ$6,СГИ!$P$1:$AI$2,2))),"",INDEX(СГИ!$P$3:$AI$22,VLOOKUP($T38,СГИ!$N$3:$O$22,2),HLOOKUP(AJ$6,СГИ!$P$1:$AI$2,2)))=1,CONCATENATE("при измерении ",$T38," ",AJ$34," не допускается ! "),"")</f>
      </c>
      <c r="AK38" s="277">
        <f>IF(IF(ISNA(INDEX(СГИ!$P$3:$AI$22,VLOOKUP($T38,СГИ!$N$3:$O$22,2),HLOOKUP(AK$6,СГИ!$P$1:$AI$2,2))),"",INDEX(СГИ!$P$3:$AI$22,VLOOKUP($T38,СГИ!$N$3:$O$22,2),HLOOKUP(AK$6,СГИ!$P$1:$AI$2,2)))=1,CONCATENATE("при измерении ",$T38," ",AK$34," не допускается ! "),"")</f>
      </c>
      <c r="AL38" s="277">
        <f>IF(IF(ISNA(INDEX(СГИ!$P$3:$AI$22,VLOOKUP($T38,СГИ!$N$3:$O$22,2),HLOOKUP(AL$6,СГИ!$P$1:$AI$2,2))),"",INDEX(СГИ!$P$3:$AI$22,VLOOKUP($T38,СГИ!$N$3:$O$22,2),HLOOKUP(AL$6,СГИ!$P$1:$AI$2,2)))=1,CONCATENATE("при измерении ",$T38," ",AL$34," не допускается ! "),"")</f>
      </c>
      <c r="AM38">
        <f t="shared" si="10"/>
      </c>
    </row>
    <row r="39" spans="1:39" ht="24" customHeight="1">
      <c r="A39" s="286" t="s">
        <v>379</v>
      </c>
      <c r="B39" s="287"/>
      <c r="C39" s="287"/>
      <c r="D39" s="289" t="s">
        <v>386</v>
      </c>
      <c r="E39" s="333"/>
      <c r="F39" s="280"/>
      <c r="G39" s="280"/>
      <c r="H39" s="267" t="s">
        <v>375</v>
      </c>
      <c r="J39" s="853" t="s">
        <v>387</v>
      </c>
      <c r="K39" s="856" t="str">
        <f>IF(OR(K38="число порогов в канале от 1 до 3",K38="укажите кол.каналов",K38="--",K35="превышение числа каналов"),"--",K38*СГИ!$C28)</f>
        <v>--</v>
      </c>
      <c r="L39" s="282">
        <f>IF(AND(E$53=1,OR(E$52&gt;0,E$41&gt;0)),"",IF(AND(E39&gt;0,SUM(E$35:E$52)&lt;17),IF(AND(OR(F39=1,F39=2,F39=3),NOT(E$55=1)),F39,IF(OR(F39="",E$55=1),1,"")),""))</f>
      </c>
      <c r="M39" s="281">
        <f>IF(E39&gt;0,D39,"")</f>
      </c>
      <c r="N39" s="283">
        <f>IF(AND($O39&gt;1,$O39&lt;17),CONCATENATE("-",$O39,$M39),IF($O39=1,CONCATENATE("-",$M39),""))</f>
      </c>
      <c r="O39" s="284">
        <f>IF(M39="",0,E39)</f>
        <v>0</v>
      </c>
      <c r="P39" s="285">
        <f t="shared" si="7"/>
        <v>0</v>
      </c>
      <c r="Q39" s="273">
        <f>IF(SUM($E$35:$E$52)&gt;8,IF(OR(D39="O3"),"--",VLOOKUP(D39,СГИ!$A$8:$G$27,3,TRUE)+VLOOKUP(D39,СГИ!$A$8:$G$27,2,TRUE)),VLOOKUP(D39,СГИ!$A$8:$G$27,3,TRUE))</f>
        <v>8060</v>
      </c>
      <c r="R39" s="274">
        <f>IF(O39&gt;0,VLOOKUP(S39,СГИ!$A$8:$G$27,5,TRUE),"")</f>
      </c>
      <c r="S39" s="274">
        <f t="shared" si="8"/>
      </c>
      <c r="T39" s="276">
        <f>IF(S39="","",S39)</f>
      </c>
      <c r="U39" s="277">
        <f>IF(IF(ISNA(INDEX(СГИ!$P$3:$AI$22,VLOOKUP($T39,СГИ!$N$3:$O$22,2),HLOOKUP(U$6,СГИ!$P$1:$AI$2,2))),"",INDEX(СГИ!$P$3:$AI$22,VLOOKUP($T39,СГИ!$N$3:$O$22,2),HLOOKUP(U$6,СГИ!$P$1:$AI$2,2)))=1,CONCATENATE("при измерении ",$T39," ",U$34," не допускается ! "),"")</f>
      </c>
      <c r="V39" s="277">
        <f>IF(IF(ISNA(INDEX(СГИ!$P$3:$AI$22,VLOOKUP($T39,СГИ!$N$3:$O$22,2),HLOOKUP(V$6,СГИ!$P$1:$AI$2,2))),"",INDEX(СГИ!$P$3:$AI$22,VLOOKUP($T39,СГИ!$N$3:$O$22,2),HLOOKUP(V$6,СГИ!$P$1:$AI$2,2)))=1,CONCATENATE("при измерении ",$T39," ",V$34," не допускается ! "),"")</f>
      </c>
      <c r="W39" s="277">
        <f>IF(IF(ISNA(INDEX(СГИ!$P$3:$AI$22,VLOOKUP($T39,СГИ!$N$3:$O$22,2),HLOOKUP(W$6,СГИ!$P$1:$AI$2,2))),"",INDEX(СГИ!$P$3:$AI$22,VLOOKUP($T39,СГИ!$N$3:$O$22,2),HLOOKUP(W$6,СГИ!$P$1:$AI$2,2)))=1,CONCATENATE("при измерении ",$T39," ",W$34," не допускается ! "),"")</f>
      </c>
      <c r="X39" s="277">
        <f>IF(IF(ISNA(INDEX(СГИ!$P$3:$AI$22,VLOOKUP($T39,СГИ!$N$3:$O$22,2),HLOOKUP(X$6,СГИ!$P$1:$AI$2,2))),"",INDEX(СГИ!$P$3:$AI$22,VLOOKUP($T39,СГИ!$N$3:$O$22,2),HLOOKUP(X$6,СГИ!$P$1:$AI$2,2)))=1,CONCATENATE("при измерении ",$T39," ",X$34," не допускается ! "),"")</f>
      </c>
      <c r="Y39" s="277">
        <f>IF(IF(ISNA(INDEX(СГИ!$P$3:$AI$22,VLOOKUP($T39,СГИ!$N$3:$O$22,2),HLOOKUP(Y$6,СГИ!$P$1:$AI$2,2))),"",INDEX(СГИ!$P$3:$AI$22,VLOOKUP($T39,СГИ!$N$3:$O$22,2),HLOOKUP(Y$6,СГИ!$P$1:$AI$2,2)))=1,CONCATENATE("при измерении ",$T39," ",Y$34," не допускается ! "),"")</f>
      </c>
      <c r="Z39" s="277">
        <f>IF(IF(ISNA(INDEX(СГИ!$P$3:$AI$22,VLOOKUP($T39,СГИ!$N$3:$O$22,2),HLOOKUP(Z$6,СГИ!$P$1:$AI$2,2))),"",INDEX(СГИ!$P$3:$AI$22,VLOOKUP($T39,СГИ!$N$3:$O$22,2),HLOOKUP(Z$6,СГИ!$P$1:$AI$2,2)))=1,CONCATENATE("при измерении ",$T39," ",Z$34," не допускается ! "),"")</f>
      </c>
      <c r="AA39" s="277">
        <f>IF(IF(ISNA(INDEX(СГИ!$P$3:$AI$22,VLOOKUP($T39,СГИ!$N$3:$O$22,2),HLOOKUP(AA$6,СГИ!$P$1:$AI$2,2))),"",INDEX(СГИ!$P$3:$AI$22,VLOOKUP($T39,СГИ!$N$3:$O$22,2),HLOOKUP(AA$6,СГИ!$P$1:$AI$2,2)))=1,CONCATENATE("при измерении ",$T39," ",AA$34," не допускается ! "),"")</f>
      </c>
      <c r="AB39" s="277">
        <f>IF(IF(ISNA(INDEX(СГИ!$P$3:$AI$22,VLOOKUP($T39,СГИ!$N$3:$O$22,2),HLOOKUP(AB$6,СГИ!$P$1:$AI$2,2))),"",INDEX(СГИ!$P$3:$AI$22,VLOOKUP($T39,СГИ!$N$3:$O$22,2),HLOOKUP(AB$6,СГИ!$P$1:$AI$2,2)))=1,CONCATENATE("при измерении ",$T39," ",AB$34," не допускается ! "),"")</f>
      </c>
      <c r="AC39" s="277">
        <f>IF(IF(ISNA(INDEX(СГИ!$P$3:$AI$22,VLOOKUP($T39,СГИ!$N$3:$O$22,2),HLOOKUP(AC$6,СГИ!$P$1:$AI$2,2))),"",INDEX(СГИ!$P$3:$AI$22,VLOOKUP($T39,СГИ!$N$3:$O$22,2),HLOOKUP(AC$6,СГИ!$P$1:$AI$2,2)))=1,CONCATENATE("при измерении ",$T39," ",AC$34," не допускается ! "),"")</f>
      </c>
      <c r="AD39" s="277">
        <f>IF(IF(ISNA(INDEX(СГИ!$P$3:$AI$22,VLOOKUP($T39,СГИ!$N$3:$O$22,2),HLOOKUP(AD$6,СГИ!$P$1:$AI$2,2))),"",INDEX(СГИ!$P$3:$AI$22,VLOOKUP($T39,СГИ!$N$3:$O$22,2),HLOOKUP(AD$6,СГИ!$P$1:$AI$2,2)))=1,CONCATENATE("при измерении ",$T39," ",AD$34," не допускается ! "),"")</f>
      </c>
      <c r="AE39" s="277">
        <f>IF(IF(ISNA(INDEX(СГИ!$P$3:$AI$22,VLOOKUP($T39,СГИ!$N$3:$O$22,2),HLOOKUP(AE$6,СГИ!$P$1:$AI$2,2))),"",INDEX(СГИ!$P$3:$AI$22,VLOOKUP($T39,СГИ!$N$3:$O$22,2),HLOOKUP(AE$6,СГИ!$P$1:$AI$2,2)))=1,CONCATENATE("при измерении ",$T39," ",AE$34," не допускается ! "),"")</f>
      </c>
      <c r="AF39" s="277">
        <f>IF(IF(ISNA(INDEX(СГИ!$P$3:$AI$22,VLOOKUP($T39,СГИ!$N$3:$O$22,2),HLOOKUP(AF$6,СГИ!$P$1:$AI$2,2))),"",INDEX(СГИ!$P$3:$AI$22,VLOOKUP($T39,СГИ!$N$3:$O$22,2),HLOOKUP(AF$6,СГИ!$P$1:$AI$2,2)))=1,CONCATENATE("при измерении ",$T39," ",AF$34," не допускается ! "),"")</f>
      </c>
      <c r="AG39" s="277">
        <f>IF(IF(ISNA(INDEX(СГИ!$P$3:$AI$22,VLOOKUP($T39,СГИ!$N$3:$O$22,2),HLOOKUP(AG$6,СГИ!$P$1:$AI$2,2))),"",INDEX(СГИ!$P$3:$AI$22,VLOOKUP($T39,СГИ!$N$3:$O$22,2),HLOOKUP(AG$6,СГИ!$P$1:$AI$2,2)))=1,CONCATENATE("при измерении ",$T39," ",AG$34," не допускается ! "),"")</f>
      </c>
      <c r="AH39" s="277">
        <f>IF(IF(ISNA(INDEX(СГИ!$P$3:$AI$22,VLOOKUP($T39,СГИ!$N$3:$O$22,2),HLOOKUP(AH$6,СГИ!$P$1:$AI$2,2))),"",INDEX(СГИ!$P$3:$AI$22,VLOOKUP($T39,СГИ!$N$3:$O$22,2),HLOOKUP(AH$6,СГИ!$P$1:$AI$2,2)))=1,CONCATENATE("при измерении ",$T39," ",AH$34," не допускается ! "),"")</f>
      </c>
      <c r="AI39" s="277">
        <f>IF(IF(ISNA(INDEX(СГИ!$P$3:$AI$22,VLOOKUP($T39,СГИ!$N$3:$O$22,2),HLOOKUP(AI$6,СГИ!$P$1:$AI$2,2))),"",INDEX(СГИ!$P$3:$AI$22,VLOOKUP($T39,СГИ!$N$3:$O$22,2),HLOOKUP(AI$6,СГИ!$P$1:$AI$2,2)))=1,CONCATENATE("при измерении ",$T39," ",AI$34," не допускается ! "),"")</f>
      </c>
      <c r="AJ39" s="277">
        <f>IF(IF(ISNA(INDEX(СГИ!$P$3:$AI$22,VLOOKUP($T39,СГИ!$N$3:$O$22,2),HLOOKUP(AJ$6,СГИ!$P$1:$AI$2,2))),"",INDEX(СГИ!$P$3:$AI$22,VLOOKUP($T39,СГИ!$N$3:$O$22,2),HLOOKUP(AJ$6,СГИ!$P$1:$AI$2,2)))=1,CONCATENATE("при измерении ",$T39," ",AJ$34," не допускается ! "),"")</f>
      </c>
      <c r="AK39" s="277">
        <f>IF(IF(ISNA(INDEX(СГИ!$P$3:$AI$22,VLOOKUP($T39,СГИ!$N$3:$O$22,2),HLOOKUP(AK$6,СГИ!$P$1:$AI$2,2))),"",INDEX(СГИ!$P$3:$AI$22,VLOOKUP($T39,СГИ!$N$3:$O$22,2),HLOOKUP(AK$6,СГИ!$P$1:$AI$2,2)))=1,CONCATENATE("при измерении ",$T39," ",AK$34," не допускается ! "),"")</f>
      </c>
      <c r="AL39" s="277">
        <f>IF(IF(ISNA(INDEX(СГИ!$P$3:$AI$22,VLOOKUP($T39,СГИ!$N$3:$O$22,2),HLOOKUP(AL$6,СГИ!$P$1:$AI$2,2))),"",INDEX(СГИ!$P$3:$AI$22,VLOOKUP($T39,СГИ!$N$3:$O$22,2),HLOOKUP(AL$6,СГИ!$P$1:$AI$2,2)))=1,CONCATENATE("при измерении ",$T39," ",AL$34," не допускается ! "),"")</f>
      </c>
      <c r="AM39">
        <f t="shared" si="10"/>
      </c>
    </row>
    <row r="40" spans="1:39" ht="17.25" customHeight="1">
      <c r="A40" s="292" t="s">
        <v>379</v>
      </c>
      <c r="B40" s="287"/>
      <c r="C40" s="287"/>
      <c r="D40" s="293" t="s">
        <v>388</v>
      </c>
      <c r="E40" s="333"/>
      <c r="F40" s="280"/>
      <c r="G40" s="280"/>
      <c r="H40" s="267" t="s">
        <v>375</v>
      </c>
      <c r="J40" s="879"/>
      <c r="K40" s="858" t="str">
        <f>IF(AND(K37="взрывозащита не предусмотрена",OR(K36="",K36="(каналы углеводородов неселективны)")),"ЦЕНЫ без взрывозащиты, руб.:",IF(OR(K35="превышение числа каналов",K35="данные не введены"),"ЦЕНЫ","ЦЕНЫ с взрывозащитой, руб.:"))</f>
        <v>ЦЕНЫ</v>
      </c>
      <c r="L40" s="282">
        <f>IF(AND(E$53=1,OR(E$52&gt;0,E$41&gt;0)),"",IF(AND(E40&gt;0,SUM(E$35:E$52)&lt;17),IF(AND(OR(F40=1,F40=2,F40=3),NOT(E$55=1)),F40,IF(OR(F40="",E$55=1),1,"")),""))</f>
      </c>
      <c r="M40" s="281">
        <f>IF(E40&gt;0,D40,"")</f>
      </c>
      <c r="N40" s="283">
        <f>IF(AND($O40&gt;1,$O40&lt;17),CONCATENATE("-",$O40,$M40),IF($O40=1,CONCATENATE("-",$M40),""))</f>
      </c>
      <c r="O40" s="284">
        <f>IF(M40="",0,E40)</f>
        <v>0</v>
      </c>
      <c r="P40" s="285">
        <f t="shared" si="7"/>
        <v>0</v>
      </c>
      <c r="Q40" s="273">
        <f>IF(SUM($E$35:$E$52)&gt;8,IF(OR(D40="O3"),"--",VLOOKUP(D40,СГИ!$A$8:$G$27,3,TRUE)+VLOOKUP(D40,СГИ!$A$8:$G$27,2,TRUE)),VLOOKUP(D40,СГИ!$A$8:$G$27,3,TRUE))</f>
        <v>8060</v>
      </c>
      <c r="R40" s="274">
        <f>IF(O40&gt;0,VLOOKUP(S40,СГИ!$A$8:$G$27,5,TRUE),"")</f>
      </c>
      <c r="S40" s="274">
        <f t="shared" si="8"/>
      </c>
      <c r="T40" s="276">
        <f>IF(S40="","",S40)</f>
      </c>
      <c r="U40" s="277">
        <f>IF(IF(ISNA(INDEX(СГИ!$P$3:$AI$22,VLOOKUP($T40,СГИ!$N$3:$O$22,2),HLOOKUP(U$6,СГИ!$P$1:$AI$2,2))),"",INDEX(СГИ!$P$3:$AI$22,VLOOKUP($T40,СГИ!$N$3:$O$22,2),HLOOKUP(U$6,СГИ!$P$1:$AI$2,2)))=1,CONCATENATE("при измерении ",$T40," ",U$34," не допускается ! "),"")</f>
      </c>
      <c r="V40" s="277">
        <f>IF(IF(ISNA(INDEX(СГИ!$P$3:$AI$22,VLOOKUP($T40,СГИ!$N$3:$O$22,2),HLOOKUP(V$6,СГИ!$P$1:$AI$2,2))),"",INDEX(СГИ!$P$3:$AI$22,VLOOKUP($T40,СГИ!$N$3:$O$22,2),HLOOKUP(V$6,СГИ!$P$1:$AI$2,2)))=1,CONCATENATE("при измерении ",$T40," ",V$34," не допускается ! "),"")</f>
      </c>
      <c r="W40" s="277">
        <f>IF(IF(ISNA(INDEX(СГИ!$P$3:$AI$22,VLOOKUP($T40,СГИ!$N$3:$O$22,2),HLOOKUP(W$6,СГИ!$P$1:$AI$2,2))),"",INDEX(СГИ!$P$3:$AI$22,VLOOKUP($T40,СГИ!$N$3:$O$22,2),HLOOKUP(W$6,СГИ!$P$1:$AI$2,2)))=1,CONCATENATE("при измерении ",$T40," ",W$34," не допускается ! "),"")</f>
      </c>
      <c r="X40" s="277">
        <f>IF(IF(ISNA(INDEX(СГИ!$P$3:$AI$22,VLOOKUP($T40,СГИ!$N$3:$O$22,2),HLOOKUP(X$6,СГИ!$P$1:$AI$2,2))),"",INDEX(СГИ!$P$3:$AI$22,VLOOKUP($T40,СГИ!$N$3:$O$22,2),HLOOKUP(X$6,СГИ!$P$1:$AI$2,2)))=1,CONCATENATE("при измерении ",$T40," ",X$34," не допускается ! "),"")</f>
      </c>
      <c r="Y40" s="277">
        <f>IF(IF(ISNA(INDEX(СГИ!$P$3:$AI$22,VLOOKUP($T40,СГИ!$N$3:$O$22,2),HLOOKUP(Y$6,СГИ!$P$1:$AI$2,2))),"",INDEX(СГИ!$P$3:$AI$22,VLOOKUP($T40,СГИ!$N$3:$O$22,2),HLOOKUP(Y$6,СГИ!$P$1:$AI$2,2)))=1,CONCATENATE("при измерении ",$T40," ",Y$34," не допускается ! "),"")</f>
      </c>
      <c r="Z40" s="277">
        <f>IF(IF(ISNA(INDEX(СГИ!$P$3:$AI$22,VLOOKUP($T40,СГИ!$N$3:$O$22,2),HLOOKUP(Z$6,СГИ!$P$1:$AI$2,2))),"",INDEX(СГИ!$P$3:$AI$22,VLOOKUP($T40,СГИ!$N$3:$O$22,2),HLOOKUP(Z$6,СГИ!$P$1:$AI$2,2)))=1,CONCATENATE("при измерении ",$T40," ",Z$34," не допускается ! "),"")</f>
      </c>
      <c r="AA40" s="277">
        <f>IF(IF(ISNA(INDEX(СГИ!$P$3:$AI$22,VLOOKUP($T40,СГИ!$N$3:$O$22,2),HLOOKUP(AA$6,СГИ!$P$1:$AI$2,2))),"",INDEX(СГИ!$P$3:$AI$22,VLOOKUP($T40,СГИ!$N$3:$O$22,2),HLOOKUP(AA$6,СГИ!$P$1:$AI$2,2)))=1,CONCATENATE("при измерении ",$T40," ",AA$34," не допускается ! "),"")</f>
      </c>
      <c r="AB40" s="277">
        <f>IF(IF(ISNA(INDEX(СГИ!$P$3:$AI$22,VLOOKUP($T40,СГИ!$N$3:$O$22,2),HLOOKUP(AB$6,СГИ!$P$1:$AI$2,2))),"",INDEX(СГИ!$P$3:$AI$22,VLOOKUP($T40,СГИ!$N$3:$O$22,2),HLOOKUP(AB$6,СГИ!$P$1:$AI$2,2)))=1,CONCATENATE("при измерении ",$T40," ",AB$34," не допускается ! "),"")</f>
      </c>
      <c r="AC40" s="277">
        <f>IF(IF(ISNA(INDEX(СГИ!$P$3:$AI$22,VLOOKUP($T40,СГИ!$N$3:$O$22,2),HLOOKUP(AC$6,СГИ!$P$1:$AI$2,2))),"",INDEX(СГИ!$P$3:$AI$22,VLOOKUP($T40,СГИ!$N$3:$O$22,2),HLOOKUP(AC$6,СГИ!$P$1:$AI$2,2)))=1,CONCATENATE("при измерении ",$T40," ",AC$34," не допускается ! "),"")</f>
      </c>
      <c r="AD40" s="277">
        <f>IF(IF(ISNA(INDEX(СГИ!$P$3:$AI$22,VLOOKUP($T40,СГИ!$N$3:$O$22,2),HLOOKUP(AD$6,СГИ!$P$1:$AI$2,2))),"",INDEX(СГИ!$P$3:$AI$22,VLOOKUP($T40,СГИ!$N$3:$O$22,2),HLOOKUP(AD$6,СГИ!$P$1:$AI$2,2)))=1,CONCATENATE("при измерении ",$T40," ",AD$34," не допускается ! "),"")</f>
      </c>
      <c r="AE40" s="277">
        <f>IF(IF(ISNA(INDEX(СГИ!$P$3:$AI$22,VLOOKUP($T40,СГИ!$N$3:$O$22,2),HLOOKUP(AE$6,СГИ!$P$1:$AI$2,2))),"",INDEX(СГИ!$P$3:$AI$22,VLOOKUP($T40,СГИ!$N$3:$O$22,2),HLOOKUP(AE$6,СГИ!$P$1:$AI$2,2)))=1,CONCATENATE("при измерении ",$T40," ",AE$34," не допускается ! "),"")</f>
      </c>
      <c r="AF40" s="277">
        <f>IF(IF(ISNA(INDEX(СГИ!$P$3:$AI$22,VLOOKUP($T40,СГИ!$N$3:$O$22,2),HLOOKUP(AF$6,СГИ!$P$1:$AI$2,2))),"",INDEX(СГИ!$P$3:$AI$22,VLOOKUP($T40,СГИ!$N$3:$O$22,2),HLOOKUP(AF$6,СГИ!$P$1:$AI$2,2)))=1,CONCATENATE("при измерении ",$T40," ",AF$34," не допускается ! "),"")</f>
      </c>
      <c r="AG40" s="277">
        <f>IF(IF(ISNA(INDEX(СГИ!$P$3:$AI$22,VLOOKUP($T40,СГИ!$N$3:$O$22,2),HLOOKUP(AG$6,СГИ!$P$1:$AI$2,2))),"",INDEX(СГИ!$P$3:$AI$22,VLOOKUP($T40,СГИ!$N$3:$O$22,2),HLOOKUP(AG$6,СГИ!$P$1:$AI$2,2)))=1,CONCATENATE("при измерении ",$T40," ",AG$34," не допускается ! "),"")</f>
      </c>
      <c r="AH40" s="277">
        <f>IF(IF(ISNA(INDEX(СГИ!$P$3:$AI$22,VLOOKUP($T40,СГИ!$N$3:$O$22,2),HLOOKUP(AH$6,СГИ!$P$1:$AI$2,2))),"",INDEX(СГИ!$P$3:$AI$22,VLOOKUP($T40,СГИ!$N$3:$O$22,2),HLOOKUP(AH$6,СГИ!$P$1:$AI$2,2)))=1,CONCATENATE("при измерении ",$T40," ",AH$34," не допускается ! "),"")</f>
      </c>
      <c r="AI40" s="277">
        <f>IF(IF(ISNA(INDEX(СГИ!$P$3:$AI$22,VLOOKUP($T40,СГИ!$N$3:$O$22,2),HLOOKUP(AI$6,СГИ!$P$1:$AI$2,2))),"",INDEX(СГИ!$P$3:$AI$22,VLOOKUP($T40,СГИ!$N$3:$O$22,2),HLOOKUP(AI$6,СГИ!$P$1:$AI$2,2)))=1,CONCATENATE("при измерении ",$T40," ",AI$34," не допускается ! "),"")</f>
      </c>
      <c r="AJ40" s="277">
        <f>IF(IF(ISNA(INDEX(СГИ!$P$3:$AI$22,VLOOKUP($T40,СГИ!$N$3:$O$22,2),HLOOKUP(AJ$6,СГИ!$P$1:$AI$2,2))),"",INDEX(СГИ!$P$3:$AI$22,VLOOKUP($T40,СГИ!$N$3:$O$22,2),HLOOKUP(AJ$6,СГИ!$P$1:$AI$2,2)))=1,CONCATENATE("при измерении ",$T40," ",AJ$34," не допускается ! "),"")</f>
      </c>
      <c r="AK40" s="277">
        <f>IF(IF(ISNA(INDEX(СГИ!$P$3:$AI$22,VLOOKUP($T40,СГИ!$N$3:$O$22,2),HLOOKUP(AK$6,СГИ!$P$1:$AI$2,2))),"",INDEX(СГИ!$P$3:$AI$22,VLOOKUP($T40,СГИ!$N$3:$O$22,2),HLOOKUP(AK$6,СГИ!$P$1:$AI$2,2)))=1,CONCATENATE("при измерении ",$T40," ",AK$34," не допускается ! "),"")</f>
      </c>
      <c r="AL40" s="277">
        <f>IF(IF(ISNA(INDEX(СГИ!$P$3:$AI$22,VLOOKUP($T40,СГИ!$N$3:$O$22,2),HLOOKUP(AL$6,СГИ!$P$1:$AI$2,2))),"",INDEX(СГИ!$P$3:$AI$22,VLOOKUP($T40,СГИ!$N$3:$O$22,2),HLOOKUP(AL$6,СГИ!$P$1:$AI$2,2)))=1,CONCATENATE("при измерении ",$T40," ",AL$34," не допускается ! "),"")</f>
      </c>
      <c r="AM40">
        <f t="shared" si="10"/>
      </c>
    </row>
    <row r="41" spans="2:39" ht="14.25" customHeight="1">
      <c r="B41" s="294"/>
      <c r="C41" s="294"/>
      <c r="D41" s="279" t="s">
        <v>36</v>
      </c>
      <c r="E41" s="333"/>
      <c r="F41" s="280"/>
      <c r="G41" s="280"/>
      <c r="H41" s="267" t="s">
        <v>375</v>
      </c>
      <c r="J41" s="859" t="s">
        <v>389</v>
      </c>
      <c r="K41" s="860" t="str">
        <f>IF(OR(K39="--",K42="проверьте ввод данных"),K42,K42-K39)</f>
        <v>проверьте ввод данных</v>
      </c>
      <c r="L41" s="282">
        <f t="shared" si="9"/>
      </c>
      <c r="M41" s="281">
        <f>IF(E41&gt;0,D41,"")</f>
      </c>
      <c r="N41" s="283">
        <f>IF(AND($O41&gt;1,$O41&lt;17),CONCATENATE("-",$O41,$M41),IF($O41=1,CONCATENATE("-",$M41),""))</f>
      </c>
      <c r="O41" s="284">
        <f>IF(M41="",0,E41)</f>
        <v>0</v>
      </c>
      <c r="P41" s="285">
        <f t="shared" si="7"/>
        <v>0</v>
      </c>
      <c r="Q41" s="273">
        <f>IF(SUM($E$35:$E$52)&gt;8,IF(OR(D41="O3"),"--",VLOOKUP(D41,СГИ!$A$8:$G$27,3,TRUE)+VLOOKUP(D41,СГИ!$A$8:$G$27,2,TRUE)),VLOOKUP(D41,СГИ!$A$8:$G$27,3,TRUE))</f>
        <v>13900</v>
      </c>
      <c r="R41" s="274">
        <f>IF(O41&gt;0,VLOOKUP(S41,СГИ!$A$8:$G$27,5,TRUE),"")</f>
      </c>
      <c r="S41" s="274">
        <f t="shared" si="8"/>
      </c>
      <c r="T41" s="276">
        <f>IF(S41="","",S41)</f>
      </c>
      <c r="U41" s="277">
        <f>IF(IF(ISNA(INDEX(СГИ!$P$3:$AI$22,VLOOKUP($T41,СГИ!$N$3:$O$22,2),HLOOKUP(U$6,СГИ!$P$1:$AI$2,2))),"",INDEX(СГИ!$P$3:$AI$22,VLOOKUP($T41,СГИ!$N$3:$O$22,2),HLOOKUP(U$6,СГИ!$P$1:$AI$2,2)))=1,CONCATENATE("при измерении ",$T41," ",U$34," не допускается ! "),"")</f>
      </c>
      <c r="V41" s="277">
        <f>IF(IF(ISNA(INDEX(СГИ!$P$3:$AI$22,VLOOKUP($T41,СГИ!$N$3:$O$22,2),HLOOKUP(V$6,СГИ!$P$1:$AI$2,2))),"",INDEX(СГИ!$P$3:$AI$22,VLOOKUP($T41,СГИ!$N$3:$O$22,2),HLOOKUP(V$6,СГИ!$P$1:$AI$2,2)))=1,CONCATENATE("при измерении ",$T41," ",V$34," не допускается ! "),"")</f>
      </c>
      <c r="W41" s="277">
        <f>IF(IF(ISNA(INDEX(СГИ!$P$3:$AI$22,VLOOKUP($T41,СГИ!$N$3:$O$22,2),HLOOKUP(W$6,СГИ!$P$1:$AI$2,2))),"",INDEX(СГИ!$P$3:$AI$22,VLOOKUP($T41,СГИ!$N$3:$O$22,2),HLOOKUP(W$6,СГИ!$P$1:$AI$2,2)))=1,CONCATENATE("при измерении ",$T41," ",W$34," не допускается ! "),"")</f>
      </c>
      <c r="X41" s="277">
        <f>IF(IF(ISNA(INDEX(СГИ!$P$3:$AI$22,VLOOKUP($T41,СГИ!$N$3:$O$22,2),HLOOKUP(X$6,СГИ!$P$1:$AI$2,2))),"",INDEX(СГИ!$P$3:$AI$22,VLOOKUP($T41,СГИ!$N$3:$O$22,2),HLOOKUP(X$6,СГИ!$P$1:$AI$2,2)))=1,CONCATENATE("при измерении ",$T41," ",X$34," не допускается ! "),"")</f>
      </c>
      <c r="Y41" s="277">
        <f>IF(IF(ISNA(INDEX(СГИ!$P$3:$AI$22,VLOOKUP($T41,СГИ!$N$3:$O$22,2),HLOOKUP(Y$6,СГИ!$P$1:$AI$2,2))),"",INDEX(СГИ!$P$3:$AI$22,VLOOKUP($T41,СГИ!$N$3:$O$22,2),HLOOKUP(Y$6,СГИ!$P$1:$AI$2,2)))=1,CONCATENATE("при измерении ",$T41," ",Y$34," не допускается ! "),"")</f>
      </c>
      <c r="Z41" s="277">
        <f>IF(IF(ISNA(INDEX(СГИ!$P$3:$AI$22,VLOOKUP($T41,СГИ!$N$3:$O$22,2),HLOOKUP(Z$6,СГИ!$P$1:$AI$2,2))),"",INDEX(СГИ!$P$3:$AI$22,VLOOKUP($T41,СГИ!$N$3:$O$22,2),HLOOKUP(Z$6,СГИ!$P$1:$AI$2,2)))=1,CONCATENATE("при измерении ",$T41," ",Z$34," не допускается ! "),"")</f>
      </c>
      <c r="AA41" s="277">
        <f>IF(IF(ISNA(INDEX(СГИ!$P$3:$AI$22,VLOOKUP($T41,СГИ!$N$3:$O$22,2),HLOOKUP(AA$6,СГИ!$P$1:$AI$2,2))),"",INDEX(СГИ!$P$3:$AI$22,VLOOKUP($T41,СГИ!$N$3:$O$22,2),HLOOKUP(AA$6,СГИ!$P$1:$AI$2,2)))=1,CONCATENATE("при измерении ",$T41," ",AA$34," не допускается ! "),"")</f>
      </c>
      <c r="AB41" s="277">
        <f>IF(IF(ISNA(INDEX(СГИ!$P$3:$AI$22,VLOOKUP($T41,СГИ!$N$3:$O$22,2),HLOOKUP(AB$6,СГИ!$P$1:$AI$2,2))),"",INDEX(СГИ!$P$3:$AI$22,VLOOKUP($T41,СГИ!$N$3:$O$22,2),HLOOKUP(AB$6,СГИ!$P$1:$AI$2,2)))=1,CONCATENATE("при измерении ",$T41," ",AB$34," не допускается ! "),"")</f>
      </c>
      <c r="AC41" s="277">
        <f>IF(IF(ISNA(INDEX(СГИ!$P$3:$AI$22,VLOOKUP($T41,СГИ!$N$3:$O$22,2),HLOOKUP(AC$6,СГИ!$P$1:$AI$2,2))),"",INDEX(СГИ!$P$3:$AI$22,VLOOKUP($T41,СГИ!$N$3:$O$22,2),HLOOKUP(AC$6,СГИ!$P$1:$AI$2,2)))=1,CONCATENATE("при измерении ",$T41," ",AC$34," не допускается ! "),"")</f>
      </c>
      <c r="AD41" s="277">
        <f>IF(IF(ISNA(INDEX(СГИ!$P$3:$AI$22,VLOOKUP($T41,СГИ!$N$3:$O$22,2),HLOOKUP(AD$6,СГИ!$P$1:$AI$2,2))),"",INDEX(СГИ!$P$3:$AI$22,VLOOKUP($T41,СГИ!$N$3:$O$22,2),HLOOKUP(AD$6,СГИ!$P$1:$AI$2,2)))=1,CONCATENATE("при измерении ",$T41," ",AD$34," не допускается ! "),"")</f>
      </c>
      <c r="AE41" s="277">
        <f>IF(IF(ISNA(INDEX(СГИ!$P$3:$AI$22,VLOOKUP($T41,СГИ!$N$3:$O$22,2),HLOOKUP(AE$6,СГИ!$P$1:$AI$2,2))),"",INDEX(СГИ!$P$3:$AI$22,VLOOKUP($T41,СГИ!$N$3:$O$22,2),HLOOKUP(AE$6,СГИ!$P$1:$AI$2,2)))=1,CONCATENATE("при измерении ",$T41," ",AE$34," не допускается ! "),"")</f>
      </c>
      <c r="AF41" s="277">
        <f>IF(IF(ISNA(INDEX(СГИ!$P$3:$AI$22,VLOOKUP($T41,СГИ!$N$3:$O$22,2),HLOOKUP(AF$6,СГИ!$P$1:$AI$2,2))),"",INDEX(СГИ!$P$3:$AI$22,VLOOKUP($T41,СГИ!$N$3:$O$22,2),HLOOKUP(AF$6,СГИ!$P$1:$AI$2,2)))=1,CONCATENATE("при измерении ",$T41," ",AF$34," не допускается ! "),"")</f>
      </c>
      <c r="AG41" s="277">
        <f>IF(IF(ISNA(INDEX(СГИ!$P$3:$AI$22,VLOOKUP($T41,СГИ!$N$3:$O$22,2),HLOOKUP(AG$6,СГИ!$P$1:$AI$2,2))),"",INDEX(СГИ!$P$3:$AI$22,VLOOKUP($T41,СГИ!$N$3:$O$22,2),HLOOKUP(AG$6,СГИ!$P$1:$AI$2,2)))=1,CONCATENATE("при измерении ",$T41," ",AG$34," не допускается ! "),"")</f>
      </c>
      <c r="AH41" s="277">
        <f>IF(IF(ISNA(INDEX(СГИ!$P$3:$AI$22,VLOOKUP($T41,СГИ!$N$3:$O$22,2),HLOOKUP(AH$6,СГИ!$P$1:$AI$2,2))),"",INDEX(СГИ!$P$3:$AI$22,VLOOKUP($T41,СГИ!$N$3:$O$22,2),HLOOKUP(AH$6,СГИ!$P$1:$AI$2,2)))=1,CONCATENATE("при измерении ",$T41," ",AH$34," не допускается ! "),"")</f>
      </c>
      <c r="AI41" s="277">
        <f>IF(IF(ISNA(INDEX(СГИ!$P$3:$AI$22,VLOOKUP($T41,СГИ!$N$3:$O$22,2),HLOOKUP(AI$6,СГИ!$P$1:$AI$2,2))),"",INDEX(СГИ!$P$3:$AI$22,VLOOKUP($T41,СГИ!$N$3:$O$22,2),HLOOKUP(AI$6,СГИ!$P$1:$AI$2,2)))=1,CONCATENATE("при измерении ",$T41," ",AI$34," не допускается ! "),"")</f>
      </c>
      <c r="AJ41" s="277">
        <f>IF(IF(ISNA(INDEX(СГИ!$P$3:$AI$22,VLOOKUP($T41,СГИ!$N$3:$O$22,2),HLOOKUP(AJ$6,СГИ!$P$1:$AI$2,2))),"",INDEX(СГИ!$P$3:$AI$22,VLOOKUP($T41,СГИ!$N$3:$O$22,2),HLOOKUP(AJ$6,СГИ!$P$1:$AI$2,2)))=1,CONCATENATE("при измерении ",$T41," ",AJ$34," не допускается ! "),"")</f>
      </c>
      <c r="AK41" s="277">
        <f>IF(IF(ISNA(INDEX(СГИ!$P$3:$AI$22,VLOOKUP($T41,СГИ!$N$3:$O$22,2),HLOOKUP(AK$6,СГИ!$P$1:$AI$2,2))),"",INDEX(СГИ!$P$3:$AI$22,VLOOKUP($T41,СГИ!$N$3:$O$22,2),HLOOKUP(AK$6,СГИ!$P$1:$AI$2,2)))=1,CONCATENATE("при измерении ",$T41," ",AK$34," не допускается ! "),"")</f>
      </c>
      <c r="AL41" s="277">
        <f>IF(IF(ISNA(INDEX(СГИ!$P$3:$AI$22,VLOOKUP($T41,СГИ!$N$3:$O$22,2),HLOOKUP(AL$6,СГИ!$P$1:$AI$2,2))),"",INDEX(СГИ!$P$3:$AI$22,VLOOKUP($T41,СГИ!$N$3:$O$22,2),HLOOKUP(AL$6,СГИ!$P$1:$AI$2,2)))=1,CONCATENATE("при измерении ",$T41," ",AL$34," не допускается ! "),"")</f>
      </c>
      <c r="AM41">
        <f t="shared" si="10"/>
      </c>
    </row>
    <row r="42" spans="2:39" ht="21" customHeight="1">
      <c r="B42" s="294"/>
      <c r="C42" s="294"/>
      <c r="D42" s="332" t="s">
        <v>136</v>
      </c>
      <c r="E42" s="333"/>
      <c r="F42" s="280"/>
      <c r="G42" s="910"/>
      <c r="H42" s="267" t="s">
        <v>375</v>
      </c>
      <c r="J42" s="861" t="s">
        <v>390</v>
      </c>
      <c r="K42" s="862" t="str">
        <f>IF(OR(K35="канал двуокиси азота или хлористого водорода",K35="превышение числа каналов",K35="данные не введены",K39="--",K37="проверьте ввод данных"),"проверьте ввод данных",IF(AND(MAX(C37:C40)&lt;2,MIN(C37:C40)&gt;-1),ROUND(IF(AND(E53=1,NOT(E54=1)),1.05,1)*(MAX(R35:R52)+SUMPRODUCT(O35:O52,Q35:Q52)+3000*SIGN(E48+E51)*(O55-(E48+E51))+500*SUMPRODUCT(C37:C40,E37:E40)+R54+R53+R55)+K39,-1)))</f>
        <v>проверьте ввод данных</v>
      </c>
      <c r="L42" s="282">
        <f t="shared" si="9"/>
      </c>
      <c r="M42" s="281">
        <f aca="true" t="shared" si="11" ref="M42:M52">IF(E42&gt;0,D42,"")</f>
      </c>
      <c r="N42" s="283">
        <f aca="true" t="shared" si="12" ref="N42:N52">IF(AND($O42&gt;1,$O42&lt;17),CONCATENATE("-",$O42,$M42),IF($O42=1,CONCATENATE("-",$M42),""))</f>
      </c>
      <c r="O42" s="284">
        <f aca="true" t="shared" si="13" ref="O42:O52">IF(M42="",0,E42)</f>
        <v>0</v>
      </c>
      <c r="P42" s="285">
        <f t="shared" si="7"/>
        <v>0</v>
      </c>
      <c r="Q42" s="273">
        <f>IF(SUM($E$35:$E$52)&gt;8,IF(OR(D42="O3"),"--",VLOOKUP(D42,СГИ!$A$8:$G$27,3,TRUE)+VLOOKUP(D42,СГИ!$A$8:$G$27,2,TRUE)),VLOOKUP(D42,СГИ!$A$8:$G$27,3,TRUE))</f>
        <v>8860</v>
      </c>
      <c r="R42" s="274">
        <f>IF(O42&gt;0,VLOOKUP(S42,СГИ!$A$8:$G$27,5,TRUE),"")</f>
      </c>
      <c r="S42" s="274">
        <f>IF(M38="",IF(AND(M36="",M37="",M39="",M40=""),M42,"CO+гор.газ"),IF(AND(M36="",M37="",M39="",M40=""),"CO+CH4","CO+гор.газ"))</f>
      </c>
      <c r="T42" s="295"/>
      <c r="U42" s="334">
        <f>IF(IF(ISNA(INDEX(СГИ!$P$3:$AI$22,VLOOKUP($T42,СГИ!$N$3:$O$22,2),HLOOKUP(U$6,СГИ!$P$1:$AI$2,2))),"",INDEX(СГИ!$P$3:$AI$22,VLOOKUP($T42,СГИ!$N$3:$O$22,2),HLOOKUP(U$6,СГИ!$P$1:$AI$2,2)))=1,CONCATENATE("при измерении ",$T42," ",U$34," не допускается ! "),"")</f>
      </c>
      <c r="V42" s="334">
        <f>IF(IF(ISNA(INDEX(СГИ!$P$3:$AI$22,VLOOKUP($T42,СГИ!$N$3:$O$22,2),HLOOKUP(V$6,СГИ!$P$1:$AI$2,2))),"",INDEX(СГИ!$P$3:$AI$22,VLOOKUP($T42,СГИ!$N$3:$O$22,2),HLOOKUP(V$6,СГИ!$P$1:$AI$2,2)))=1,CONCATENATE("при измерении ",$T42," ",V$34," не допускается ! "),"")</f>
      </c>
      <c r="W42" s="334">
        <f>IF(IF(ISNA(INDEX(СГИ!$P$3:$AI$22,VLOOKUP($T42,СГИ!$N$3:$O$22,2),HLOOKUP(W$6,СГИ!$P$1:$AI$2,2))),"",INDEX(СГИ!$P$3:$AI$22,VLOOKUP($T42,СГИ!$N$3:$O$22,2),HLOOKUP(W$6,СГИ!$P$1:$AI$2,2)))=1,CONCATENATE("при измерении ",$T42," ",W$34," не допускается ! "),"")</f>
      </c>
      <c r="X42" s="334">
        <f>IF(IF(ISNA(INDEX(СГИ!$P$3:$AI$22,VLOOKUP($T42,СГИ!$N$3:$O$22,2),HLOOKUP(X$6,СГИ!$P$1:$AI$2,2))),"",INDEX(СГИ!$P$3:$AI$22,VLOOKUP($T42,СГИ!$N$3:$O$22,2),HLOOKUP(X$6,СГИ!$P$1:$AI$2,2)))=1,CONCATENATE("при измерении ",$T42," ",X$34," не допускается ! "),"")</f>
      </c>
      <c r="Y42" s="334">
        <f>IF(IF(ISNA(INDEX(СГИ!$P$3:$AI$22,VLOOKUP($T42,СГИ!$N$3:$O$22,2),HLOOKUP(Y$6,СГИ!$P$1:$AI$2,2))),"",INDEX(СГИ!$P$3:$AI$22,VLOOKUP($T42,СГИ!$N$3:$O$22,2),HLOOKUP(Y$6,СГИ!$P$1:$AI$2,2)))=1,CONCATENATE("при измерении ",$T42," ",Y$34," не допускается ! "),"")</f>
      </c>
      <c r="Z42" s="334">
        <f>IF(IF(ISNA(INDEX(СГИ!$P$3:$AI$22,VLOOKUP($T42,СГИ!$N$3:$O$22,2),HLOOKUP(Z$6,СГИ!$P$1:$AI$2,2))),"",INDEX(СГИ!$P$3:$AI$22,VLOOKUP($T42,СГИ!$N$3:$O$22,2),HLOOKUP(Z$6,СГИ!$P$1:$AI$2,2)))=1,CONCATENATE("при измерении ",$T42," ",Z$34," не допускается ! "),"")</f>
      </c>
      <c r="AA42" s="334">
        <f>IF(IF(ISNA(INDEX(СГИ!$P$3:$AI$22,VLOOKUP($T42,СГИ!$N$3:$O$22,2),HLOOKUP(AA$6,СГИ!$P$1:$AI$2,2))),"",INDEX(СГИ!$P$3:$AI$22,VLOOKUP($T42,СГИ!$N$3:$O$22,2),HLOOKUP(AA$6,СГИ!$P$1:$AI$2,2)))=1,CONCATENATE("при измерении ",$T42," ",AA$34," не допускается ! "),"")</f>
      </c>
      <c r="AB42" s="334">
        <f>IF(IF(ISNA(INDEX(СГИ!$P$3:$AI$22,VLOOKUP($T42,СГИ!$N$3:$O$22,2),HLOOKUP(AB$6,СГИ!$P$1:$AI$2,2))),"",INDEX(СГИ!$P$3:$AI$22,VLOOKUP($T42,СГИ!$N$3:$O$22,2),HLOOKUP(AB$6,СГИ!$P$1:$AI$2,2)))=1,CONCATENATE("при измерении ",$T42," ",AB$34," не допускается ! "),"")</f>
      </c>
      <c r="AC42" s="334">
        <f>IF(IF(ISNA(INDEX(СГИ!$P$3:$AI$22,VLOOKUP($T42,СГИ!$N$3:$O$22,2),HLOOKUP(AC$6,СГИ!$P$1:$AI$2,2))),"",INDEX(СГИ!$P$3:$AI$22,VLOOKUP($T42,СГИ!$N$3:$O$22,2),HLOOKUP(AC$6,СГИ!$P$1:$AI$2,2)))=1,CONCATENATE("при измерении ",$T42," ",AC$34," не допускается ! "),"")</f>
      </c>
      <c r="AD42" s="334">
        <f>IF(IF(ISNA(INDEX(СГИ!$P$3:$AI$22,VLOOKUP($T42,СГИ!$N$3:$O$22,2),HLOOKUP(AD$6,СГИ!$P$1:$AI$2,2))),"",INDEX(СГИ!$P$3:$AI$22,VLOOKUP($T42,СГИ!$N$3:$O$22,2),HLOOKUP(AD$6,СГИ!$P$1:$AI$2,2)))=1,CONCATENATE("при измерении ",$T42," ",AD$34," не допускается ! "),"")</f>
      </c>
      <c r="AE42" s="334">
        <f>IF(IF(ISNA(INDEX(СГИ!$P$3:$AI$22,VLOOKUP($T42,СГИ!$N$3:$O$22,2),HLOOKUP(AE$6,СГИ!$P$1:$AI$2,2))),"",INDEX(СГИ!$P$3:$AI$22,VLOOKUP($T42,СГИ!$N$3:$O$22,2),HLOOKUP(AE$6,СГИ!$P$1:$AI$2,2)))=1,CONCATENATE("при измерении ",$T42," ",AE$34," не допускается ! "),"")</f>
      </c>
      <c r="AF42" s="334">
        <f>IF(IF(ISNA(INDEX(СГИ!$P$3:$AI$22,VLOOKUP($T42,СГИ!$N$3:$O$22,2),HLOOKUP(AF$6,СГИ!$P$1:$AI$2,2))),"",INDEX(СГИ!$P$3:$AI$22,VLOOKUP($T42,СГИ!$N$3:$O$22,2),HLOOKUP(AF$6,СГИ!$P$1:$AI$2,2)))=1,CONCATENATE("при измерении ",$T42," ",AF$34," не допускается ! "),"")</f>
      </c>
      <c r="AG42" s="334">
        <f>IF(IF(ISNA(INDEX(СГИ!$P$3:$AI$22,VLOOKUP($T42,СГИ!$N$3:$O$22,2),HLOOKUP(AG$6,СГИ!$P$1:$AI$2,2))),"",INDEX(СГИ!$P$3:$AI$22,VLOOKUP($T42,СГИ!$N$3:$O$22,2),HLOOKUP(AG$6,СГИ!$P$1:$AI$2,2)))=1,CONCATENATE("при измерении ",$T42," ",AG$34," не допускается ! "),"")</f>
      </c>
      <c r="AH42" s="334">
        <f>IF(IF(ISNA(INDEX(СГИ!$P$3:$AI$22,VLOOKUP($T42,СГИ!$N$3:$O$22,2),HLOOKUP(AH$6,СГИ!$P$1:$AI$2,2))),"",INDEX(СГИ!$P$3:$AI$22,VLOOKUP($T42,СГИ!$N$3:$O$22,2),HLOOKUP(AH$6,СГИ!$P$1:$AI$2,2)))=1,CONCATENATE("при измерении ",$T42," ",AH$34," не допускается ! "),"")</f>
      </c>
      <c r="AI42" s="334">
        <f>IF(IF(ISNA(INDEX(СГИ!$P$3:$AI$22,VLOOKUP($T42,СГИ!$N$3:$O$22,2),HLOOKUP(AI$6,СГИ!$P$1:$AI$2,2))),"",INDEX(СГИ!$P$3:$AI$22,VLOOKUP($T42,СГИ!$N$3:$O$22,2),HLOOKUP(AI$6,СГИ!$P$1:$AI$2,2)))=1,CONCATENATE("при измерении ",$T42," ",AI$34," не допускается ! "),"")</f>
      </c>
      <c r="AJ42" s="334">
        <f>IF(IF(ISNA(INDEX(СГИ!$P$3:$AI$22,VLOOKUP($T42,СГИ!$N$3:$O$22,2),HLOOKUP(AJ$6,СГИ!$P$1:$AI$2,2))),"",INDEX(СГИ!$P$3:$AI$22,VLOOKUP($T42,СГИ!$N$3:$O$22,2),HLOOKUP(AJ$6,СГИ!$P$1:$AI$2,2)))=1,CONCATENATE("при измерении ",$T42," ",AJ$34," не допускается ! "),"")</f>
      </c>
      <c r="AK42" s="334">
        <f>IF(IF(ISNA(INDEX(СГИ!$P$3:$AI$22,VLOOKUP($T42,СГИ!$N$3:$O$22,2),HLOOKUP(AK$6,СГИ!$P$1:$AI$2,2))),"",INDEX(СГИ!$P$3:$AI$22,VLOOKUP($T42,СГИ!$N$3:$O$22,2),HLOOKUP(AK$6,СГИ!$P$1:$AI$2,2)))=1,CONCATENATE("при измерении ",$T42," ",AK$34," не допускается ! "),"")</f>
      </c>
      <c r="AL42" s="334">
        <f>IF(IF(ISNA(INDEX(СГИ!$P$3:$AI$22,VLOOKUP($T42,СГИ!$N$3:$O$22,2),HLOOKUP(AL$6,СГИ!$P$1:$AI$2,2))),"",INDEX(СГИ!$P$3:$AI$22,VLOOKUP($T42,СГИ!$N$3:$O$22,2),HLOOKUP(AL$6,СГИ!$P$1:$AI$2,2)))=1,CONCATENATE("при измерении ",$T42," ",AL$34," не допускается ! "),"")</f>
      </c>
      <c r="AM42">
        <f t="shared" si="10"/>
      </c>
    </row>
    <row r="43" spans="2:39" ht="15.75" customHeight="1">
      <c r="B43" s="294"/>
      <c r="C43" s="294"/>
      <c r="D43" s="332" t="s">
        <v>391</v>
      </c>
      <c r="E43" s="333"/>
      <c r="F43" s="280"/>
      <c r="G43" s="910"/>
      <c r="H43" s="267" t="s">
        <v>375</v>
      </c>
      <c r="J43" s="863" t="s">
        <v>392</v>
      </c>
      <c r="K43" s="864" t="str">
        <f>IF(OR(K42="проверьте ввод данных",K42=0),"--",K42*СГИ!$B$1)</f>
        <v>--</v>
      </c>
      <c r="L43" s="282">
        <f t="shared" si="9"/>
      </c>
      <c r="M43" s="281">
        <f t="shared" si="11"/>
      </c>
      <c r="N43" s="283">
        <f t="shared" si="12"/>
      </c>
      <c r="O43" s="284">
        <f t="shared" si="13"/>
        <v>0</v>
      </c>
      <c r="P43" s="285">
        <f t="shared" si="7"/>
        <v>0</v>
      </c>
      <c r="Q43" s="273">
        <f>IF(SUM($E$35:$E$52)&gt;8,IF(OR(D43="O3"),"--",VLOOKUP(D43,СГИ!$A$8:$G$27,3,TRUE)+VLOOKUP(D43,СГИ!$A$8:$G$27,2,TRUE)),VLOOKUP(D43,СГИ!$A$8:$G$27,3,TRUE))</f>
        <v>8900</v>
      </c>
      <c r="R43" s="274">
        <f>IF(O43&gt;0,VLOOKUP(S43,СГИ!$A$8:$G$27,5,TRUE),"")</f>
      </c>
      <c r="S43" s="274">
        <f t="shared" si="8"/>
      </c>
      <c r="T43" s="276">
        <f aca="true" t="shared" si="14" ref="T43:T52">IF(S43="","",S43)</f>
      </c>
      <c r="U43" s="277">
        <f>IF(IF(ISNA(INDEX(СГИ!$P$3:$AI$22,VLOOKUP($T43,СГИ!$N$3:$O$22,2),HLOOKUP(U$6,СГИ!$P$1:$AI$2,2))),"",INDEX(СГИ!$P$3:$AI$22,VLOOKUP($T43,СГИ!$N$3:$O$22,2),HLOOKUP(U$6,СГИ!$P$1:$AI$2,2)))=1,CONCATENATE("при измерении ",$T43," ",U$34," не допускается ! "),"")</f>
      </c>
      <c r="V43" s="277">
        <f>IF(IF(ISNA(INDEX(СГИ!$P$3:$AI$22,VLOOKUP($T43,СГИ!$N$3:$O$22,2),HLOOKUP(V$6,СГИ!$P$1:$AI$2,2))),"",INDEX(СГИ!$P$3:$AI$22,VLOOKUP($T43,СГИ!$N$3:$O$22,2),HLOOKUP(V$6,СГИ!$P$1:$AI$2,2)))=1,CONCATENATE("при измерении ",$T43," ",V$34," не допускается ! "),"")</f>
      </c>
      <c r="W43" s="277">
        <f>IF(IF(ISNA(INDEX(СГИ!$P$3:$AI$22,VLOOKUP($T43,СГИ!$N$3:$O$22,2),HLOOKUP(W$6,СГИ!$P$1:$AI$2,2))),"",INDEX(СГИ!$P$3:$AI$22,VLOOKUP($T43,СГИ!$N$3:$O$22,2),HLOOKUP(W$6,СГИ!$P$1:$AI$2,2)))=1,CONCATENATE("при измерении ",$T43," ",W$34," не допускается ! "),"")</f>
      </c>
      <c r="X43" s="277">
        <f>IF(IF(ISNA(INDEX(СГИ!$P$3:$AI$22,VLOOKUP($T43,СГИ!$N$3:$O$22,2),HLOOKUP(X$6,СГИ!$P$1:$AI$2,2))),"",INDEX(СГИ!$P$3:$AI$22,VLOOKUP($T43,СГИ!$N$3:$O$22,2),HLOOKUP(X$6,СГИ!$P$1:$AI$2,2)))=1,CONCATENATE("при измерении ",$T43," ",X$34," не допускается ! "),"")</f>
      </c>
      <c r="Y43" s="277">
        <f>IF(IF(ISNA(INDEX(СГИ!$P$3:$AI$22,VLOOKUP($T43,СГИ!$N$3:$O$22,2),HLOOKUP(Y$6,СГИ!$P$1:$AI$2,2))),"",INDEX(СГИ!$P$3:$AI$22,VLOOKUP($T43,СГИ!$N$3:$O$22,2),HLOOKUP(Y$6,СГИ!$P$1:$AI$2,2)))=1,CONCATENATE("при измерении ",$T43," ",Y$34," не допускается ! "),"")</f>
      </c>
      <c r="Z43" s="277">
        <f>IF(IF(ISNA(INDEX(СГИ!$P$3:$AI$22,VLOOKUP($T43,СГИ!$N$3:$O$22,2),HLOOKUP(Z$6,СГИ!$P$1:$AI$2,2))),"",INDEX(СГИ!$P$3:$AI$22,VLOOKUP($T43,СГИ!$N$3:$O$22,2),HLOOKUP(Z$6,СГИ!$P$1:$AI$2,2)))=1,CONCATENATE("при измерении ",$T43," ",Z$34," не допускается ! "),"")</f>
      </c>
      <c r="AA43" s="277">
        <f>IF(IF(ISNA(INDEX(СГИ!$P$3:$AI$22,VLOOKUP($T43,СГИ!$N$3:$O$22,2),HLOOKUP(AA$6,СГИ!$P$1:$AI$2,2))),"",INDEX(СГИ!$P$3:$AI$22,VLOOKUP($T43,СГИ!$N$3:$O$22,2),HLOOKUP(AA$6,СГИ!$P$1:$AI$2,2)))=1,CONCATENATE("при измерении ",$T43," ",AA$34," не допускается ! "),"")</f>
      </c>
      <c r="AB43" s="277">
        <f>IF(IF(ISNA(INDEX(СГИ!$P$3:$AI$22,VLOOKUP($T43,СГИ!$N$3:$O$22,2),HLOOKUP(AB$6,СГИ!$P$1:$AI$2,2))),"",INDEX(СГИ!$P$3:$AI$22,VLOOKUP($T43,СГИ!$N$3:$O$22,2),HLOOKUP(AB$6,СГИ!$P$1:$AI$2,2)))=1,CONCATENATE("при измерении ",$T43," ",AB$34," не допускается ! "),"")</f>
      </c>
      <c r="AC43" s="277">
        <f>IF(IF(ISNA(INDEX(СГИ!$P$3:$AI$22,VLOOKUP($T43,СГИ!$N$3:$O$22,2),HLOOKUP(AC$6,СГИ!$P$1:$AI$2,2))),"",INDEX(СГИ!$P$3:$AI$22,VLOOKUP($T43,СГИ!$N$3:$O$22,2),HLOOKUP(AC$6,СГИ!$P$1:$AI$2,2)))=1,CONCATENATE("при измерении ",$T43," ",AC$34," не допускается ! "),"")</f>
      </c>
      <c r="AD43" s="277">
        <f>IF(IF(ISNA(INDEX(СГИ!$P$3:$AI$22,VLOOKUP($T43,СГИ!$N$3:$O$22,2),HLOOKUP(AD$6,СГИ!$P$1:$AI$2,2))),"",INDEX(СГИ!$P$3:$AI$22,VLOOKUP($T43,СГИ!$N$3:$O$22,2),HLOOKUP(AD$6,СГИ!$P$1:$AI$2,2)))=1,CONCATENATE("при измерении ",$T43," ",AD$34," не допускается ! "),"")</f>
      </c>
      <c r="AE43" s="277">
        <f>IF(IF(ISNA(INDEX(СГИ!$P$3:$AI$22,VLOOKUP($T43,СГИ!$N$3:$O$22,2),HLOOKUP(AE$6,СГИ!$P$1:$AI$2,2))),"",INDEX(СГИ!$P$3:$AI$22,VLOOKUP($T43,СГИ!$N$3:$O$22,2),HLOOKUP(AE$6,СГИ!$P$1:$AI$2,2)))=1,CONCATENATE("при измерении ",$T43," ",AE$34," не допускается ! "),"")</f>
      </c>
      <c r="AF43" s="277">
        <f>IF(IF(ISNA(INDEX(СГИ!$P$3:$AI$22,VLOOKUP($T43,СГИ!$N$3:$O$22,2),HLOOKUP(AF$6,СГИ!$P$1:$AI$2,2))),"",INDEX(СГИ!$P$3:$AI$22,VLOOKUP($T43,СГИ!$N$3:$O$22,2),HLOOKUP(AF$6,СГИ!$P$1:$AI$2,2)))=1,CONCATENATE("при измерении ",$T43," ",AF$34," не допускается ! "),"")</f>
      </c>
      <c r="AG43" s="277">
        <f>IF(IF(ISNA(INDEX(СГИ!$P$3:$AI$22,VLOOKUP($T43,СГИ!$N$3:$O$22,2),HLOOKUP(AG$6,СГИ!$P$1:$AI$2,2))),"",INDEX(СГИ!$P$3:$AI$22,VLOOKUP($T43,СГИ!$N$3:$O$22,2),HLOOKUP(AG$6,СГИ!$P$1:$AI$2,2)))=1,CONCATENATE("при измерении ",$T43," ",AG$34," не допускается ! "),"")</f>
      </c>
      <c r="AH43" s="277">
        <f>IF(IF(ISNA(INDEX(СГИ!$P$3:$AI$22,VLOOKUP($T43,СГИ!$N$3:$O$22,2),HLOOKUP(AH$6,СГИ!$P$1:$AI$2,2))),"",INDEX(СГИ!$P$3:$AI$22,VLOOKUP($T43,СГИ!$N$3:$O$22,2),HLOOKUP(AH$6,СГИ!$P$1:$AI$2,2)))=1,CONCATENATE("при измерении ",$T43," ",AH$34," не допускается ! "),"")</f>
      </c>
      <c r="AI43" s="277">
        <f>IF(IF(ISNA(INDEX(СГИ!$P$3:$AI$22,VLOOKUP($T43,СГИ!$N$3:$O$22,2),HLOOKUP(AI$6,СГИ!$P$1:$AI$2,2))),"",INDEX(СГИ!$P$3:$AI$22,VLOOKUP($T43,СГИ!$N$3:$O$22,2),HLOOKUP(AI$6,СГИ!$P$1:$AI$2,2)))=1,CONCATENATE("при измерении ",$T43," ",AI$34," не допускается ! "),"")</f>
      </c>
      <c r="AJ43" s="277">
        <f>IF(IF(ISNA(INDEX(СГИ!$P$3:$AI$22,VLOOKUP($T43,СГИ!$N$3:$O$22,2),HLOOKUP(AJ$6,СГИ!$P$1:$AI$2,2))),"",INDEX(СГИ!$P$3:$AI$22,VLOOKUP($T43,СГИ!$N$3:$O$22,2),HLOOKUP(AJ$6,СГИ!$P$1:$AI$2,2)))=1,CONCATENATE("при измерении ",$T43," ",AJ$34," не допускается ! "),"")</f>
      </c>
      <c r="AK43" s="277">
        <f>IF(IF(ISNA(INDEX(СГИ!$P$3:$AI$22,VLOOKUP($T43,СГИ!$N$3:$O$22,2),HLOOKUP(AK$6,СГИ!$P$1:$AI$2,2))),"",INDEX(СГИ!$P$3:$AI$22,VLOOKUP($T43,СГИ!$N$3:$O$22,2),HLOOKUP(AK$6,СГИ!$P$1:$AI$2,2)))=1,CONCATENATE("при измерении ",$T43," ",AK$34," не допускается ! "),"")</f>
      </c>
      <c r="AL43" s="277">
        <f>IF(IF(ISNA(INDEX(СГИ!$P$3:$AI$22,VLOOKUP($T43,СГИ!$N$3:$O$22,2),HLOOKUP(AL$6,СГИ!$P$1:$AI$2,2))),"",INDEX(СГИ!$P$3:$AI$22,VLOOKUP($T43,СГИ!$N$3:$O$22,2),HLOOKUP(AL$6,СГИ!$P$1:$AI$2,2)))=1,CONCATENATE("при измерении ",$T43," ",AL$34," не допускается ! "),"")</f>
      </c>
      <c r="AM43">
        <f t="shared" si="10"/>
      </c>
    </row>
    <row r="44" spans="2:39" ht="12.75" customHeight="1">
      <c r="B44" s="294"/>
      <c r="C44" s="294"/>
      <c r="D44" s="332" t="s">
        <v>393</v>
      </c>
      <c r="E44" s="333"/>
      <c r="F44" s="280"/>
      <c r="G44" s="910"/>
      <c r="H44" s="267" t="s">
        <v>375</v>
      </c>
      <c r="J44" s="865" t="s">
        <v>394</v>
      </c>
      <c r="K44" s="866" t="str">
        <f>IF(OR(K42="проверьте ввод данных",K42=0),"--",SUM(K42:K43))</f>
        <v>--</v>
      </c>
      <c r="L44" s="282">
        <f t="shared" si="9"/>
      </c>
      <c r="M44" s="281">
        <f t="shared" si="11"/>
      </c>
      <c r="N44" s="283">
        <f t="shared" si="12"/>
      </c>
      <c r="O44" s="284">
        <f t="shared" si="13"/>
        <v>0</v>
      </c>
      <c r="P44" s="285">
        <f t="shared" si="7"/>
        <v>0</v>
      </c>
      <c r="Q44" s="273">
        <f>IF(SUM($E$35:$E$52)&gt;8,IF(OR(D44="O3"),"--",VLOOKUP(D44,СГИ!$A$8:$G$27,3,TRUE)+VLOOKUP(D44,СГИ!$A$8:$G$27,2,TRUE)),VLOOKUP(D44,СГИ!$A$8:$G$27,3,TRUE))</f>
        <v>9210</v>
      </c>
      <c r="R44" s="274">
        <f>IF(O44&gt;0,VLOOKUP(S44,СГИ!$A$8:$G$27,5,TRUE),"")</f>
      </c>
      <c r="S44" s="274">
        <f t="shared" si="8"/>
      </c>
      <c r="T44" s="276">
        <f t="shared" si="14"/>
      </c>
      <c r="U44" s="277">
        <f>IF(IF(ISNA(INDEX(СГИ!$P$3:$AI$22,VLOOKUP($T44,СГИ!$N$3:$O$22,2),HLOOKUP(U$6,СГИ!$P$1:$AI$2,2))),"",INDEX(СГИ!$P$3:$AI$22,VLOOKUP($T44,СГИ!$N$3:$O$22,2),HLOOKUP(U$6,СГИ!$P$1:$AI$2,2)))=1,CONCATENATE("при измерении ",$T44," ",U$34," не допускается ! "),"")</f>
      </c>
      <c r="V44" s="277">
        <f>IF(IF(ISNA(INDEX(СГИ!$P$3:$AI$22,VLOOKUP($T44,СГИ!$N$3:$O$22,2),HLOOKUP(V$6,СГИ!$P$1:$AI$2,2))),"",INDEX(СГИ!$P$3:$AI$22,VLOOKUP($T44,СГИ!$N$3:$O$22,2),HLOOKUP(V$6,СГИ!$P$1:$AI$2,2)))=1,CONCATENATE("при измерении ",$T44," ",V$34," не допускается ! "),"")</f>
      </c>
      <c r="W44" s="277">
        <f>IF(IF(ISNA(INDEX(СГИ!$P$3:$AI$22,VLOOKUP($T44,СГИ!$N$3:$O$22,2),HLOOKUP(W$6,СГИ!$P$1:$AI$2,2))),"",INDEX(СГИ!$P$3:$AI$22,VLOOKUP($T44,СГИ!$N$3:$O$22,2),HLOOKUP(W$6,СГИ!$P$1:$AI$2,2)))=1,CONCATENATE("при измерении ",$T44," ",W$34," не допускается ! "),"")</f>
      </c>
      <c r="X44" s="277">
        <f>IF(IF(ISNA(INDEX(СГИ!$P$3:$AI$22,VLOOKUP($T44,СГИ!$N$3:$O$22,2),HLOOKUP(X$6,СГИ!$P$1:$AI$2,2))),"",INDEX(СГИ!$P$3:$AI$22,VLOOKUP($T44,СГИ!$N$3:$O$22,2),HLOOKUP(X$6,СГИ!$P$1:$AI$2,2)))=1,CONCATENATE("при измерении ",$T44," ",X$34," не допускается ! "),"")</f>
      </c>
      <c r="Y44" s="277">
        <f>IF(IF(ISNA(INDEX(СГИ!$P$3:$AI$22,VLOOKUP($T44,СГИ!$N$3:$O$22,2),HLOOKUP(Y$6,СГИ!$P$1:$AI$2,2))),"",INDEX(СГИ!$P$3:$AI$22,VLOOKUP($T44,СГИ!$N$3:$O$22,2),HLOOKUP(Y$6,СГИ!$P$1:$AI$2,2)))=1,CONCATENATE("при измерении ",$T44," ",Y$34," не допускается ! "),"")</f>
      </c>
      <c r="Z44" s="277">
        <f>IF(IF(ISNA(INDEX(СГИ!$P$3:$AI$22,VLOOKUP($T44,СГИ!$N$3:$O$22,2),HLOOKUP(Z$6,СГИ!$P$1:$AI$2,2))),"",INDEX(СГИ!$P$3:$AI$22,VLOOKUP($T44,СГИ!$N$3:$O$22,2),HLOOKUP(Z$6,СГИ!$P$1:$AI$2,2)))=1,CONCATENATE("при измерении ",$T44," ",Z$34," не допускается ! "),"")</f>
      </c>
      <c r="AA44" s="277">
        <f>IF(IF(ISNA(INDEX(СГИ!$P$3:$AI$22,VLOOKUP($T44,СГИ!$N$3:$O$22,2),HLOOKUP(AA$6,СГИ!$P$1:$AI$2,2))),"",INDEX(СГИ!$P$3:$AI$22,VLOOKUP($T44,СГИ!$N$3:$O$22,2),HLOOKUP(AA$6,СГИ!$P$1:$AI$2,2)))=1,CONCATENATE("при измерении ",$T44," ",AA$34," не допускается ! "),"")</f>
      </c>
      <c r="AB44" s="277">
        <f>IF(IF(ISNA(INDEX(СГИ!$P$3:$AI$22,VLOOKUP($T44,СГИ!$N$3:$O$22,2),HLOOKUP(AB$6,СГИ!$P$1:$AI$2,2))),"",INDEX(СГИ!$P$3:$AI$22,VLOOKUP($T44,СГИ!$N$3:$O$22,2),HLOOKUP(AB$6,СГИ!$P$1:$AI$2,2)))=1,CONCATENATE("при измерении ",$T44," ",AB$34," не допускается ! "),"")</f>
      </c>
      <c r="AC44" s="277">
        <f>IF(IF(ISNA(INDEX(СГИ!$P$3:$AI$22,VLOOKUP($T44,СГИ!$N$3:$O$22,2),HLOOKUP(AC$6,СГИ!$P$1:$AI$2,2))),"",INDEX(СГИ!$P$3:$AI$22,VLOOKUP($T44,СГИ!$N$3:$O$22,2),HLOOKUP(AC$6,СГИ!$P$1:$AI$2,2)))=1,CONCATENATE("при измерении ",$T44," ",AC$34," не допускается ! "),"")</f>
      </c>
      <c r="AD44" s="277">
        <f>IF(IF(ISNA(INDEX(СГИ!$P$3:$AI$22,VLOOKUP($T44,СГИ!$N$3:$O$22,2),HLOOKUP(AD$6,СГИ!$P$1:$AI$2,2))),"",INDEX(СГИ!$P$3:$AI$22,VLOOKUP($T44,СГИ!$N$3:$O$22,2),HLOOKUP(AD$6,СГИ!$P$1:$AI$2,2)))=1,CONCATENATE("при измерении ",$T44," ",AD$34," не допускается ! "),"")</f>
      </c>
      <c r="AE44" s="277">
        <f>IF(IF(ISNA(INDEX(СГИ!$P$3:$AI$22,VLOOKUP($T44,СГИ!$N$3:$O$22,2),HLOOKUP(AE$6,СГИ!$P$1:$AI$2,2))),"",INDEX(СГИ!$P$3:$AI$22,VLOOKUP($T44,СГИ!$N$3:$O$22,2),HLOOKUP(AE$6,СГИ!$P$1:$AI$2,2)))=1,CONCATENATE("при измерении ",$T44," ",AE$34," не допускается ! "),"")</f>
      </c>
      <c r="AF44" s="277">
        <f>IF(IF(ISNA(INDEX(СГИ!$P$3:$AI$22,VLOOKUP($T44,СГИ!$N$3:$O$22,2),HLOOKUP(AF$6,СГИ!$P$1:$AI$2,2))),"",INDEX(СГИ!$P$3:$AI$22,VLOOKUP($T44,СГИ!$N$3:$O$22,2),HLOOKUP(AF$6,СГИ!$P$1:$AI$2,2)))=1,CONCATENATE("при измерении ",$T44," ",AF$34," не допускается ! "),"")</f>
      </c>
      <c r="AG44" s="277">
        <f>IF(IF(ISNA(INDEX(СГИ!$P$3:$AI$22,VLOOKUP($T44,СГИ!$N$3:$O$22,2),HLOOKUP(AG$6,СГИ!$P$1:$AI$2,2))),"",INDEX(СГИ!$P$3:$AI$22,VLOOKUP($T44,СГИ!$N$3:$O$22,2),HLOOKUP(AG$6,СГИ!$P$1:$AI$2,2)))=1,CONCATENATE("при измерении ",$T44," ",AG$34," не допускается ! "),"")</f>
      </c>
      <c r="AH44" s="277">
        <f>IF(IF(ISNA(INDEX(СГИ!$P$3:$AI$22,VLOOKUP($T44,СГИ!$N$3:$O$22,2),HLOOKUP(AH$6,СГИ!$P$1:$AI$2,2))),"",INDEX(СГИ!$P$3:$AI$22,VLOOKUP($T44,СГИ!$N$3:$O$22,2),HLOOKUP(AH$6,СГИ!$P$1:$AI$2,2)))=1,CONCATENATE("при измерении ",$T44," ",AH$34," не допускается ! "),"")</f>
      </c>
      <c r="AI44" s="277">
        <f>IF(IF(ISNA(INDEX(СГИ!$P$3:$AI$22,VLOOKUP($T44,СГИ!$N$3:$O$22,2),HLOOKUP(AI$6,СГИ!$P$1:$AI$2,2))),"",INDEX(СГИ!$P$3:$AI$22,VLOOKUP($T44,СГИ!$N$3:$O$22,2),HLOOKUP(AI$6,СГИ!$P$1:$AI$2,2)))=1,CONCATENATE("при измерении ",$T44," ",AI$34," не допускается ! "),"")</f>
      </c>
      <c r="AJ44" s="277">
        <f>IF(IF(ISNA(INDEX(СГИ!$P$3:$AI$22,VLOOKUP($T44,СГИ!$N$3:$O$22,2),HLOOKUP(AJ$6,СГИ!$P$1:$AI$2,2))),"",INDEX(СГИ!$P$3:$AI$22,VLOOKUP($T44,СГИ!$N$3:$O$22,2),HLOOKUP(AJ$6,СГИ!$P$1:$AI$2,2)))=1,CONCATENATE("при измерении ",$T44," ",AJ$34," не допускается ! "),"")</f>
      </c>
      <c r="AK44" s="277">
        <f>IF(IF(ISNA(INDEX(СГИ!$P$3:$AI$22,VLOOKUP($T44,СГИ!$N$3:$O$22,2),HLOOKUP(AK$6,СГИ!$P$1:$AI$2,2))),"",INDEX(СГИ!$P$3:$AI$22,VLOOKUP($T44,СГИ!$N$3:$O$22,2),HLOOKUP(AK$6,СГИ!$P$1:$AI$2,2)))=1,CONCATENATE("при измерении ",$T44," ",AK$34," не допускается ! "),"")</f>
      </c>
      <c r="AL44" s="277">
        <f>IF(IF(ISNA(INDEX(СГИ!$P$3:$AI$22,VLOOKUP($T44,СГИ!$N$3:$O$22,2),HLOOKUP(AL$6,СГИ!$P$1:$AI$2,2))),"",INDEX(СГИ!$P$3:$AI$22,VLOOKUP($T44,СГИ!$N$3:$O$22,2),HLOOKUP(AL$6,СГИ!$P$1:$AI$2,2)))=1,CONCATENATE("при измерении ",$T44," ",AL$34," не допускается ! "),"")</f>
      </c>
      <c r="AM44">
        <f t="shared" si="10"/>
      </c>
    </row>
    <row r="45" spans="2:39" ht="12.75" customHeight="1">
      <c r="B45" s="294"/>
      <c r="C45" s="294"/>
      <c r="D45" s="332" t="s">
        <v>395</v>
      </c>
      <c r="E45" s="333"/>
      <c r="F45" s="280"/>
      <c r="G45" s="910"/>
      <c r="H45" s="267" t="s">
        <v>375</v>
      </c>
      <c r="J45" s="867"/>
      <c r="K45" s="868"/>
      <c r="L45" s="282">
        <f t="shared" si="9"/>
      </c>
      <c r="M45" s="281">
        <f t="shared" si="11"/>
      </c>
      <c r="N45" s="283">
        <f t="shared" si="12"/>
      </c>
      <c r="O45" s="284">
        <f t="shared" si="13"/>
        <v>0</v>
      </c>
      <c r="P45" s="285">
        <f t="shared" si="7"/>
        <v>0</v>
      </c>
      <c r="Q45" s="273">
        <f>IF(SUM($E$35:$E$52)&gt;8,IF(OR(D45="O3"),"--",VLOOKUP(D45,СГИ!$A$8:$G$27,3,TRUE)+VLOOKUP(D45,СГИ!$A$8:$G$27,2,TRUE)),VLOOKUP(D45,СГИ!$A$8:$G$27,3,TRUE))</f>
        <v>8410</v>
      </c>
      <c r="R45" s="274">
        <f>IF(O45&gt;0,VLOOKUP(S45,СГИ!$A$8:$G$27,5,TRUE),"")</f>
      </c>
      <c r="S45" s="274">
        <f t="shared" si="8"/>
      </c>
      <c r="T45" s="276">
        <f t="shared" si="14"/>
      </c>
      <c r="U45" s="277">
        <f>IF(IF(ISNA(INDEX(СГИ!$P$3:$AI$22,VLOOKUP($T45,СГИ!$N$3:$O$22,2),HLOOKUP(U$6,СГИ!$P$1:$AI$2,2))),"",INDEX(СГИ!$P$3:$AI$22,VLOOKUP($T45,СГИ!$N$3:$O$22,2),HLOOKUP(U$6,СГИ!$P$1:$AI$2,2)))=1,CONCATENATE("при измерении ",$T45," ",U$34," не допускается ! "),"")</f>
      </c>
      <c r="V45" s="277">
        <f>IF(IF(ISNA(INDEX(СГИ!$P$3:$AI$22,VLOOKUP($T45,СГИ!$N$3:$O$22,2),HLOOKUP(V$6,СГИ!$P$1:$AI$2,2))),"",INDEX(СГИ!$P$3:$AI$22,VLOOKUP($T45,СГИ!$N$3:$O$22,2),HLOOKUP(V$6,СГИ!$P$1:$AI$2,2)))=1,CONCATENATE("при измерении ",$T45," ",V$34," не допускается ! "),"")</f>
      </c>
      <c r="W45" s="277">
        <f>IF(IF(ISNA(INDEX(СГИ!$P$3:$AI$22,VLOOKUP($T45,СГИ!$N$3:$O$22,2),HLOOKUP(W$6,СГИ!$P$1:$AI$2,2))),"",INDEX(СГИ!$P$3:$AI$22,VLOOKUP($T45,СГИ!$N$3:$O$22,2),HLOOKUP(W$6,СГИ!$P$1:$AI$2,2)))=1,CONCATENATE("при измерении ",$T45," ",W$34," не допускается ! "),"")</f>
      </c>
      <c r="X45" s="277">
        <f>IF(IF(ISNA(INDEX(СГИ!$P$3:$AI$22,VLOOKUP($T45,СГИ!$N$3:$O$22,2),HLOOKUP(X$6,СГИ!$P$1:$AI$2,2))),"",INDEX(СГИ!$P$3:$AI$22,VLOOKUP($T45,СГИ!$N$3:$O$22,2),HLOOKUP(X$6,СГИ!$P$1:$AI$2,2)))=1,CONCATENATE("при измерении ",$T45," ",X$34," не допускается ! "),"")</f>
      </c>
      <c r="Y45" s="277">
        <f>IF(IF(ISNA(INDEX(СГИ!$P$3:$AI$22,VLOOKUP($T45,СГИ!$N$3:$O$22,2),HLOOKUP(Y$6,СГИ!$P$1:$AI$2,2))),"",INDEX(СГИ!$P$3:$AI$22,VLOOKUP($T45,СГИ!$N$3:$O$22,2),HLOOKUP(Y$6,СГИ!$P$1:$AI$2,2)))=1,CONCATENATE("при измерении ",$T45," ",Y$34," не допускается ! "),"")</f>
      </c>
      <c r="Z45" s="277">
        <f>IF(IF(ISNA(INDEX(СГИ!$P$3:$AI$22,VLOOKUP($T45,СГИ!$N$3:$O$22,2),HLOOKUP(Z$6,СГИ!$P$1:$AI$2,2))),"",INDEX(СГИ!$P$3:$AI$22,VLOOKUP($T45,СГИ!$N$3:$O$22,2),HLOOKUP(Z$6,СГИ!$P$1:$AI$2,2)))=1,CONCATENATE("при измерении ",$T45," ",Z$34," не допускается ! "),"")</f>
      </c>
      <c r="AA45" s="277">
        <f>IF(IF(ISNA(INDEX(СГИ!$P$3:$AI$22,VLOOKUP($T45,СГИ!$N$3:$O$22,2),HLOOKUP(AA$6,СГИ!$P$1:$AI$2,2))),"",INDEX(СГИ!$P$3:$AI$22,VLOOKUP($T45,СГИ!$N$3:$O$22,2),HLOOKUP(AA$6,СГИ!$P$1:$AI$2,2)))=1,CONCATENATE("при измерении ",$T45," ",AA$34," не допускается ! "),"")</f>
      </c>
      <c r="AB45" s="277">
        <f>IF(IF(ISNA(INDEX(СГИ!$P$3:$AI$22,VLOOKUP($T45,СГИ!$N$3:$O$22,2),HLOOKUP(AB$6,СГИ!$P$1:$AI$2,2))),"",INDEX(СГИ!$P$3:$AI$22,VLOOKUP($T45,СГИ!$N$3:$O$22,2),HLOOKUP(AB$6,СГИ!$P$1:$AI$2,2)))=1,CONCATENATE("при измерении ",$T45," ",AB$34," не допускается ! "),"")</f>
      </c>
      <c r="AC45" s="277">
        <f>IF(IF(ISNA(INDEX(СГИ!$P$3:$AI$22,VLOOKUP($T45,СГИ!$N$3:$O$22,2),HLOOKUP(AC$6,СГИ!$P$1:$AI$2,2))),"",INDEX(СГИ!$P$3:$AI$22,VLOOKUP($T45,СГИ!$N$3:$O$22,2),HLOOKUP(AC$6,СГИ!$P$1:$AI$2,2)))=1,CONCATENATE("при измерении ",$T45," ",AC$34," не допускается ! "),"")</f>
      </c>
      <c r="AD45" s="277">
        <f>IF(IF(ISNA(INDEX(СГИ!$P$3:$AI$22,VLOOKUP($T45,СГИ!$N$3:$O$22,2),HLOOKUP(AD$6,СГИ!$P$1:$AI$2,2))),"",INDEX(СГИ!$P$3:$AI$22,VLOOKUP($T45,СГИ!$N$3:$O$22,2),HLOOKUP(AD$6,СГИ!$P$1:$AI$2,2)))=1,CONCATENATE("при измерении ",$T45," ",AD$34," не допускается ! "),"")</f>
      </c>
      <c r="AE45" s="277">
        <f>IF(IF(ISNA(INDEX(СГИ!$P$3:$AI$22,VLOOKUP($T45,СГИ!$N$3:$O$22,2),HLOOKUP(AE$6,СГИ!$P$1:$AI$2,2))),"",INDEX(СГИ!$P$3:$AI$22,VLOOKUP($T45,СГИ!$N$3:$O$22,2),HLOOKUP(AE$6,СГИ!$P$1:$AI$2,2)))=1,CONCATENATE("при измерении ",$T45," ",AE$34," не допускается ! "),"")</f>
      </c>
      <c r="AF45" s="277">
        <f>IF(IF(ISNA(INDEX(СГИ!$P$3:$AI$22,VLOOKUP($T45,СГИ!$N$3:$O$22,2),HLOOKUP(AF$6,СГИ!$P$1:$AI$2,2))),"",INDEX(СГИ!$P$3:$AI$22,VLOOKUP($T45,СГИ!$N$3:$O$22,2),HLOOKUP(AF$6,СГИ!$P$1:$AI$2,2)))=1,CONCATENATE("при измерении ",$T45," ",AF$34," не допускается ! "),"")</f>
      </c>
      <c r="AG45" s="277">
        <f>IF(IF(ISNA(INDEX(СГИ!$P$3:$AI$22,VLOOKUP($T45,СГИ!$N$3:$O$22,2),HLOOKUP(AG$6,СГИ!$P$1:$AI$2,2))),"",INDEX(СГИ!$P$3:$AI$22,VLOOKUP($T45,СГИ!$N$3:$O$22,2),HLOOKUP(AG$6,СГИ!$P$1:$AI$2,2)))=1,CONCATENATE("при измерении ",$T45," ",AG$34," не допускается ! "),"")</f>
      </c>
      <c r="AH45" s="277">
        <f>IF(IF(ISNA(INDEX(СГИ!$P$3:$AI$22,VLOOKUP($T45,СГИ!$N$3:$O$22,2),HLOOKUP(AH$6,СГИ!$P$1:$AI$2,2))),"",INDEX(СГИ!$P$3:$AI$22,VLOOKUP($T45,СГИ!$N$3:$O$22,2),HLOOKUP(AH$6,СГИ!$P$1:$AI$2,2)))=1,CONCATENATE("при измерении ",$T45," ",AH$34," не допускается ! "),"")</f>
      </c>
      <c r="AI45" s="277">
        <f>IF(IF(ISNA(INDEX(СГИ!$P$3:$AI$22,VLOOKUP($T45,СГИ!$N$3:$O$22,2),HLOOKUP(AI$6,СГИ!$P$1:$AI$2,2))),"",INDEX(СГИ!$P$3:$AI$22,VLOOKUP($T45,СГИ!$N$3:$O$22,2),HLOOKUP(AI$6,СГИ!$P$1:$AI$2,2)))=1,CONCATENATE("при измерении ",$T45," ",AI$34," не допускается ! "),"")</f>
      </c>
      <c r="AJ45" s="277">
        <f>IF(IF(ISNA(INDEX(СГИ!$P$3:$AI$22,VLOOKUP($T45,СГИ!$N$3:$O$22,2),HLOOKUP(AJ$6,СГИ!$P$1:$AI$2,2))),"",INDEX(СГИ!$P$3:$AI$22,VLOOKUP($T45,СГИ!$N$3:$O$22,2),HLOOKUP(AJ$6,СГИ!$P$1:$AI$2,2)))=1,CONCATENATE("при измерении ",$T45," ",AJ$34," не допускается ! "),"")</f>
      </c>
      <c r="AK45" s="277">
        <f>IF(IF(ISNA(INDEX(СГИ!$P$3:$AI$22,VLOOKUP($T45,СГИ!$N$3:$O$22,2),HLOOKUP(AK$6,СГИ!$P$1:$AI$2,2))),"",INDEX(СГИ!$P$3:$AI$22,VLOOKUP($T45,СГИ!$N$3:$O$22,2),HLOOKUP(AK$6,СГИ!$P$1:$AI$2,2)))=1,CONCATENATE("при измерении ",$T45," ",AK$34," не допускается ! "),"")</f>
      </c>
      <c r="AL45" s="277">
        <f>IF(IF(ISNA(INDEX(СГИ!$P$3:$AI$22,VLOOKUP($T45,СГИ!$N$3:$O$22,2),HLOOKUP(AL$6,СГИ!$P$1:$AI$2,2))),"",INDEX(СГИ!$P$3:$AI$22,VLOOKUP($T45,СГИ!$N$3:$O$22,2),HLOOKUP(AL$6,СГИ!$P$1:$AI$2,2)))=1,CONCATENATE("при измерении ",$T45," ",AL$34," не допускается ! "),"")</f>
      </c>
      <c r="AM45">
        <f t="shared" si="10"/>
      </c>
    </row>
    <row r="46" spans="2:39" ht="12.75" customHeight="1">
      <c r="B46" s="294"/>
      <c r="C46" s="294"/>
      <c r="D46" s="332" t="s">
        <v>396</v>
      </c>
      <c r="E46" s="333"/>
      <c r="F46" s="280"/>
      <c r="G46" s="910"/>
      <c r="H46" s="267" t="s">
        <v>375</v>
      </c>
      <c r="J46" s="880"/>
      <c r="K46" s="870" t="s">
        <v>423</v>
      </c>
      <c r="L46" s="282">
        <f t="shared" si="9"/>
      </c>
      <c r="M46" s="281">
        <f t="shared" si="11"/>
      </c>
      <c r="N46" s="283">
        <f t="shared" si="12"/>
      </c>
      <c r="O46" s="284">
        <f t="shared" si="13"/>
        <v>0</v>
      </c>
      <c r="P46" s="285">
        <f t="shared" si="7"/>
        <v>0</v>
      </c>
      <c r="Q46" s="273">
        <f>IF(SUM($E$35:$E$52)&gt;8,IF(OR(D46="O3"),"--",VLOOKUP(D46,СГИ!$A$8:$G$27,3,TRUE)+VLOOKUP(D46,СГИ!$A$8:$G$27,2,TRUE)),VLOOKUP(D46,СГИ!$A$8:$G$27,3,TRUE))</f>
        <v>9940</v>
      </c>
      <c r="R46" s="274">
        <f>IF(O46&gt;0,VLOOKUP(S46,СГИ!$A$8:$G$27,5,TRUE),"")</f>
      </c>
      <c r="S46" s="274">
        <f t="shared" si="8"/>
      </c>
      <c r="T46" s="276">
        <f t="shared" si="14"/>
      </c>
      <c r="U46" s="277">
        <f>IF(IF(ISNA(INDEX(СГИ!$P$3:$AI$22,VLOOKUP($T46,СГИ!$N$3:$O$22,2),HLOOKUP(U$6,СГИ!$P$1:$AI$2,2))),"",INDEX(СГИ!$P$3:$AI$22,VLOOKUP($T46,СГИ!$N$3:$O$22,2),HLOOKUP(U$6,СГИ!$P$1:$AI$2,2)))=1,CONCATENATE("при измерении ",$T46," ",U$34," не допускается ! "),"")</f>
      </c>
      <c r="V46" s="277">
        <f>IF(IF(ISNA(INDEX(СГИ!$P$3:$AI$22,VLOOKUP($T46,СГИ!$N$3:$O$22,2),HLOOKUP(V$6,СГИ!$P$1:$AI$2,2))),"",INDEX(СГИ!$P$3:$AI$22,VLOOKUP($T46,СГИ!$N$3:$O$22,2),HLOOKUP(V$6,СГИ!$P$1:$AI$2,2)))=1,CONCATENATE("при измерении ",$T46," ",V$34," не допускается ! "),"")</f>
      </c>
      <c r="W46" s="277">
        <f>IF(IF(ISNA(INDEX(СГИ!$P$3:$AI$22,VLOOKUP($T46,СГИ!$N$3:$O$22,2),HLOOKUP(W$6,СГИ!$P$1:$AI$2,2))),"",INDEX(СГИ!$P$3:$AI$22,VLOOKUP($T46,СГИ!$N$3:$O$22,2),HLOOKUP(W$6,СГИ!$P$1:$AI$2,2)))=1,CONCATENATE("при измерении ",$T46," ",W$34," не допускается ! "),"")</f>
      </c>
      <c r="X46" s="277">
        <f>IF(IF(ISNA(INDEX(СГИ!$P$3:$AI$22,VLOOKUP($T46,СГИ!$N$3:$O$22,2),HLOOKUP(X$6,СГИ!$P$1:$AI$2,2))),"",INDEX(СГИ!$P$3:$AI$22,VLOOKUP($T46,СГИ!$N$3:$O$22,2),HLOOKUP(X$6,СГИ!$P$1:$AI$2,2)))=1,CONCATENATE("при измерении ",$T46," ",X$34," не допускается ! "),"")</f>
      </c>
      <c r="Y46" s="277">
        <f>IF(IF(ISNA(INDEX(СГИ!$P$3:$AI$22,VLOOKUP($T46,СГИ!$N$3:$O$22,2),HLOOKUP(Y$6,СГИ!$P$1:$AI$2,2))),"",INDEX(СГИ!$P$3:$AI$22,VLOOKUP($T46,СГИ!$N$3:$O$22,2),HLOOKUP(Y$6,СГИ!$P$1:$AI$2,2)))=1,CONCATENATE("при измерении ",$T46," ",Y$34," не допускается ! "),"")</f>
      </c>
      <c r="Z46" s="277">
        <f>IF(IF(ISNA(INDEX(СГИ!$P$3:$AI$22,VLOOKUP($T46,СГИ!$N$3:$O$22,2),HLOOKUP(Z$6,СГИ!$P$1:$AI$2,2))),"",INDEX(СГИ!$P$3:$AI$22,VLOOKUP($T46,СГИ!$N$3:$O$22,2),HLOOKUP(Z$6,СГИ!$P$1:$AI$2,2)))=1,CONCATENATE("при измерении ",$T46," ",Z$34," не допускается ! "),"")</f>
      </c>
      <c r="AA46" s="277">
        <f>IF(IF(ISNA(INDEX(СГИ!$P$3:$AI$22,VLOOKUP($T46,СГИ!$N$3:$O$22,2),HLOOKUP(AA$6,СГИ!$P$1:$AI$2,2))),"",INDEX(СГИ!$P$3:$AI$22,VLOOKUP($T46,СГИ!$N$3:$O$22,2),HLOOKUP(AA$6,СГИ!$P$1:$AI$2,2)))=1,CONCATENATE("при измерении ",$T46," ",AA$34," не допускается ! "),"")</f>
      </c>
      <c r="AB46" s="277">
        <f>IF(IF(ISNA(INDEX(СГИ!$P$3:$AI$22,VLOOKUP($T46,СГИ!$N$3:$O$22,2),HLOOKUP(AB$6,СГИ!$P$1:$AI$2,2))),"",INDEX(СГИ!$P$3:$AI$22,VLOOKUP($T46,СГИ!$N$3:$O$22,2),HLOOKUP(AB$6,СГИ!$P$1:$AI$2,2)))=1,CONCATENATE("при измерении ",$T46," ",AB$34," не допускается ! "),"")</f>
      </c>
      <c r="AC46" s="277">
        <f>IF(IF(ISNA(INDEX(СГИ!$P$3:$AI$22,VLOOKUP($T46,СГИ!$N$3:$O$22,2),HLOOKUP(AC$6,СГИ!$P$1:$AI$2,2))),"",INDEX(СГИ!$P$3:$AI$22,VLOOKUP($T46,СГИ!$N$3:$O$22,2),HLOOKUP(AC$6,СГИ!$P$1:$AI$2,2)))=1,CONCATENATE("при измерении ",$T46," ",AC$34," не допускается ! "),"")</f>
      </c>
      <c r="AD46" s="277">
        <f>IF(IF(ISNA(INDEX(СГИ!$P$3:$AI$22,VLOOKUP($T46,СГИ!$N$3:$O$22,2),HLOOKUP(AD$6,СГИ!$P$1:$AI$2,2))),"",INDEX(СГИ!$P$3:$AI$22,VLOOKUP($T46,СГИ!$N$3:$O$22,2),HLOOKUP(AD$6,СГИ!$P$1:$AI$2,2)))=1,CONCATENATE("при измерении ",$T46," ",AD$34," не допускается ! "),"")</f>
      </c>
      <c r="AE46" s="277">
        <f>IF(IF(ISNA(INDEX(СГИ!$P$3:$AI$22,VLOOKUP($T46,СГИ!$N$3:$O$22,2),HLOOKUP(AE$6,СГИ!$P$1:$AI$2,2))),"",INDEX(СГИ!$P$3:$AI$22,VLOOKUP($T46,СГИ!$N$3:$O$22,2),HLOOKUP(AE$6,СГИ!$P$1:$AI$2,2)))=1,CONCATENATE("при измерении ",$T46," ",AE$34," не допускается ! "),"")</f>
      </c>
      <c r="AF46" s="277">
        <f>IF(IF(ISNA(INDEX(СГИ!$P$3:$AI$22,VLOOKUP($T46,СГИ!$N$3:$O$22,2),HLOOKUP(AF$6,СГИ!$P$1:$AI$2,2))),"",INDEX(СГИ!$P$3:$AI$22,VLOOKUP($T46,СГИ!$N$3:$O$22,2),HLOOKUP(AF$6,СГИ!$P$1:$AI$2,2)))=1,CONCATENATE("при измерении ",$T46," ",AF$34," не допускается ! "),"")</f>
      </c>
      <c r="AG46" s="277">
        <f>IF(IF(ISNA(INDEX(СГИ!$P$3:$AI$22,VLOOKUP($T46,СГИ!$N$3:$O$22,2),HLOOKUP(AG$6,СГИ!$P$1:$AI$2,2))),"",INDEX(СГИ!$P$3:$AI$22,VLOOKUP($T46,СГИ!$N$3:$O$22,2),HLOOKUP(AG$6,СГИ!$P$1:$AI$2,2)))=1,CONCATENATE("при измерении ",$T46," ",AG$34," не допускается ! "),"")</f>
      </c>
      <c r="AH46" s="277">
        <f>IF(IF(ISNA(INDEX(СГИ!$P$3:$AI$22,VLOOKUP($T46,СГИ!$N$3:$O$22,2),HLOOKUP(AH$6,СГИ!$P$1:$AI$2,2))),"",INDEX(СГИ!$P$3:$AI$22,VLOOKUP($T46,СГИ!$N$3:$O$22,2),HLOOKUP(AH$6,СГИ!$P$1:$AI$2,2)))=1,CONCATENATE("при измерении ",$T46," ",AH$34," не допускается ! "),"")</f>
      </c>
      <c r="AI46" s="277">
        <f>IF(IF(ISNA(INDEX(СГИ!$P$3:$AI$22,VLOOKUP($T46,СГИ!$N$3:$O$22,2),HLOOKUP(AI$6,СГИ!$P$1:$AI$2,2))),"",INDEX(СГИ!$P$3:$AI$22,VLOOKUP($T46,СГИ!$N$3:$O$22,2),HLOOKUP(AI$6,СГИ!$P$1:$AI$2,2)))=1,CONCATENATE("при измерении ",$T46," ",AI$34," не допускается ! "),"")</f>
      </c>
      <c r="AJ46" s="277">
        <f>IF(IF(ISNA(INDEX(СГИ!$P$3:$AI$22,VLOOKUP($T46,СГИ!$N$3:$O$22,2),HLOOKUP(AJ$6,СГИ!$P$1:$AI$2,2))),"",INDEX(СГИ!$P$3:$AI$22,VLOOKUP($T46,СГИ!$N$3:$O$22,2),HLOOKUP(AJ$6,СГИ!$P$1:$AI$2,2)))=1,CONCATENATE("при измерении ",$T46," ",AJ$34," не допускается ! "),"")</f>
      </c>
      <c r="AK46" s="277">
        <f>IF(IF(ISNA(INDEX(СГИ!$P$3:$AI$22,VLOOKUP($T46,СГИ!$N$3:$O$22,2),HLOOKUP(AK$6,СГИ!$P$1:$AI$2,2))),"",INDEX(СГИ!$P$3:$AI$22,VLOOKUP($T46,СГИ!$N$3:$O$22,2),HLOOKUP(AK$6,СГИ!$P$1:$AI$2,2)))=1,CONCATENATE("при измерении ",$T46," ",AK$34," не допускается ! "),"")</f>
      </c>
      <c r="AL46" s="277">
        <f>IF(IF(ISNA(INDEX(СГИ!$P$3:$AI$22,VLOOKUP($T46,СГИ!$N$3:$O$22,2),HLOOKUP(AL$6,СГИ!$P$1:$AI$2,2))),"",INDEX(СГИ!$P$3:$AI$22,VLOOKUP($T46,СГИ!$N$3:$O$22,2),HLOOKUP(AL$6,СГИ!$P$1:$AI$2,2)))=1,CONCATENATE("при измерении ",$T46," ",AL$34," не допускается ! "),"")</f>
      </c>
      <c r="AM46">
        <f t="shared" si="10"/>
      </c>
    </row>
    <row r="47" spans="2:39" ht="12.75" customHeight="1">
      <c r="B47" s="294"/>
      <c r="C47" s="294"/>
      <c r="D47" s="332" t="s">
        <v>398</v>
      </c>
      <c r="E47" s="333"/>
      <c r="F47" s="280"/>
      <c r="G47" s="910"/>
      <c r="H47" s="267" t="s">
        <v>375</v>
      </c>
      <c r="J47" s="853" t="s">
        <v>400</v>
      </c>
      <c r="K47" s="864" t="str">
        <f>IF(OR(K42="проверьте ввод данных",K42=0),"--",ROUND(K42*0.975,-1)*(1+СГИ!$B$1))</f>
        <v>--</v>
      </c>
      <c r="L47" s="282">
        <f t="shared" si="9"/>
      </c>
      <c r="M47" s="281">
        <f t="shared" si="11"/>
      </c>
      <c r="N47" s="283">
        <f t="shared" si="12"/>
      </c>
      <c r="O47" s="284">
        <f t="shared" si="13"/>
        <v>0</v>
      </c>
      <c r="P47" s="285">
        <f t="shared" si="7"/>
        <v>0</v>
      </c>
      <c r="Q47" s="273">
        <f>IF(SUM($E$35:$E$52)&gt;8,IF(OR(D47="O3"),"--",VLOOKUP(D47,СГИ!$A$8:$G$27,3,TRUE)+VLOOKUP(D47,СГИ!$A$8:$G$27,2,TRUE)),VLOOKUP(D47,СГИ!$A$8:$G$27,3,TRUE))</f>
        <v>11980</v>
      </c>
      <c r="R47" s="274">
        <f>IF(O47&gt;0,VLOOKUP(S47,СГИ!$A$8:$G$27,5,TRUE),"")</f>
      </c>
      <c r="S47" s="274">
        <f t="shared" si="8"/>
      </c>
      <c r="T47" s="276">
        <f t="shared" si="14"/>
      </c>
      <c r="U47" s="277">
        <f>IF(IF(ISNA(INDEX(СГИ!$P$3:$AI$22,VLOOKUP($T47,СГИ!$N$3:$O$22,2),HLOOKUP(U$6,СГИ!$P$1:$AI$2,2))),"",INDEX(СГИ!$P$3:$AI$22,VLOOKUP($T47,СГИ!$N$3:$O$22,2),HLOOKUP(U$6,СГИ!$P$1:$AI$2,2)))=1,CONCATENATE("при измерении ",$T47," ",U$34," не допускается ! "),"")</f>
      </c>
      <c r="V47" s="277">
        <f>IF(IF(ISNA(INDEX(СГИ!$P$3:$AI$22,VLOOKUP($T47,СГИ!$N$3:$O$22,2),HLOOKUP(V$6,СГИ!$P$1:$AI$2,2))),"",INDEX(СГИ!$P$3:$AI$22,VLOOKUP($T47,СГИ!$N$3:$O$22,2),HLOOKUP(V$6,СГИ!$P$1:$AI$2,2)))=1,CONCATENATE("при измерении ",$T47," ",V$34," не допускается ! "),"")</f>
      </c>
      <c r="W47" s="277">
        <f>IF(IF(ISNA(INDEX(СГИ!$P$3:$AI$22,VLOOKUP($T47,СГИ!$N$3:$O$22,2),HLOOKUP(W$6,СГИ!$P$1:$AI$2,2))),"",INDEX(СГИ!$P$3:$AI$22,VLOOKUP($T47,СГИ!$N$3:$O$22,2),HLOOKUP(W$6,СГИ!$P$1:$AI$2,2)))=1,CONCATENATE("при измерении ",$T47," ",W$34," не допускается ! "),"")</f>
      </c>
      <c r="X47" s="277">
        <f>IF(IF(ISNA(INDEX(СГИ!$P$3:$AI$22,VLOOKUP($T47,СГИ!$N$3:$O$22,2),HLOOKUP(X$6,СГИ!$P$1:$AI$2,2))),"",INDEX(СГИ!$P$3:$AI$22,VLOOKUP($T47,СГИ!$N$3:$O$22,2),HLOOKUP(X$6,СГИ!$P$1:$AI$2,2)))=1,CONCATENATE("при измерении ",$T47," ",X$34," не допускается ! "),"")</f>
      </c>
      <c r="Y47" s="277">
        <f>IF(IF(ISNA(INDEX(СГИ!$P$3:$AI$22,VLOOKUP($T47,СГИ!$N$3:$O$22,2),HLOOKUP(Y$6,СГИ!$P$1:$AI$2,2))),"",INDEX(СГИ!$P$3:$AI$22,VLOOKUP($T47,СГИ!$N$3:$O$22,2),HLOOKUP(Y$6,СГИ!$P$1:$AI$2,2)))=1,CONCATENATE("при измерении ",$T47," ",Y$34," не допускается ! "),"")</f>
      </c>
      <c r="Z47" s="277">
        <f>IF(IF(ISNA(INDEX(СГИ!$P$3:$AI$22,VLOOKUP($T47,СГИ!$N$3:$O$22,2),HLOOKUP(Z$6,СГИ!$P$1:$AI$2,2))),"",INDEX(СГИ!$P$3:$AI$22,VLOOKUP($T47,СГИ!$N$3:$O$22,2),HLOOKUP(Z$6,СГИ!$P$1:$AI$2,2)))=1,CONCATENATE("при измерении ",$T47," ",Z$34," не допускается ! "),"")</f>
      </c>
      <c r="AA47" s="277">
        <f>IF(IF(ISNA(INDEX(СГИ!$P$3:$AI$22,VLOOKUP($T47,СГИ!$N$3:$O$22,2),HLOOKUP(AA$6,СГИ!$P$1:$AI$2,2))),"",INDEX(СГИ!$P$3:$AI$22,VLOOKUP($T47,СГИ!$N$3:$O$22,2),HLOOKUP(AA$6,СГИ!$P$1:$AI$2,2)))=1,CONCATENATE("при измерении ",$T47," ",AA$34," не допускается ! "),"")</f>
      </c>
      <c r="AB47" s="277">
        <f>IF(IF(ISNA(INDEX(СГИ!$P$3:$AI$22,VLOOKUP($T47,СГИ!$N$3:$O$22,2),HLOOKUP(AB$6,СГИ!$P$1:$AI$2,2))),"",INDEX(СГИ!$P$3:$AI$22,VLOOKUP($T47,СГИ!$N$3:$O$22,2),HLOOKUP(AB$6,СГИ!$P$1:$AI$2,2)))=1,CONCATENATE("при измерении ",$T47," ",AB$34," не допускается ! "),"")</f>
      </c>
      <c r="AC47" s="277">
        <f>IF(IF(ISNA(INDEX(СГИ!$P$3:$AI$22,VLOOKUP($T47,СГИ!$N$3:$O$22,2),HLOOKUP(AC$6,СГИ!$P$1:$AI$2,2))),"",INDEX(СГИ!$P$3:$AI$22,VLOOKUP($T47,СГИ!$N$3:$O$22,2),HLOOKUP(AC$6,СГИ!$P$1:$AI$2,2)))=1,CONCATENATE("при измерении ",$T47," ",AC$34," не допускается ! "),"")</f>
      </c>
      <c r="AD47" s="277">
        <f>IF(IF(ISNA(INDEX(СГИ!$P$3:$AI$22,VLOOKUP($T47,СГИ!$N$3:$O$22,2),HLOOKUP(AD$6,СГИ!$P$1:$AI$2,2))),"",INDEX(СГИ!$P$3:$AI$22,VLOOKUP($T47,СГИ!$N$3:$O$22,2),HLOOKUP(AD$6,СГИ!$P$1:$AI$2,2)))=1,CONCATENATE("при измерении ",$T47," ",AD$34," не допускается ! "),"")</f>
      </c>
      <c r="AE47" s="277">
        <f>IF(IF(ISNA(INDEX(СГИ!$P$3:$AI$22,VLOOKUP($T47,СГИ!$N$3:$O$22,2),HLOOKUP(AE$6,СГИ!$P$1:$AI$2,2))),"",INDEX(СГИ!$P$3:$AI$22,VLOOKUP($T47,СГИ!$N$3:$O$22,2),HLOOKUP(AE$6,СГИ!$P$1:$AI$2,2)))=1,CONCATENATE("при измерении ",$T47," ",AE$34," не допускается ! "),"")</f>
      </c>
      <c r="AF47" s="277">
        <f>IF(IF(ISNA(INDEX(СГИ!$P$3:$AI$22,VLOOKUP($T47,СГИ!$N$3:$O$22,2),HLOOKUP(AF$6,СГИ!$P$1:$AI$2,2))),"",INDEX(СГИ!$P$3:$AI$22,VLOOKUP($T47,СГИ!$N$3:$O$22,2),HLOOKUP(AF$6,СГИ!$P$1:$AI$2,2)))=1,CONCATENATE("при измерении ",$T47," ",AF$34," не допускается ! "),"")</f>
      </c>
      <c r="AG47" s="277">
        <f>IF(IF(ISNA(INDEX(СГИ!$P$3:$AI$22,VLOOKUP($T47,СГИ!$N$3:$O$22,2),HLOOKUP(AG$6,СГИ!$P$1:$AI$2,2))),"",INDEX(СГИ!$P$3:$AI$22,VLOOKUP($T47,СГИ!$N$3:$O$22,2),HLOOKUP(AG$6,СГИ!$P$1:$AI$2,2)))=1,CONCATENATE("при измерении ",$T47," ",AG$34," не допускается ! "),"")</f>
      </c>
      <c r="AH47" s="277">
        <f>IF(IF(ISNA(INDEX(СГИ!$P$3:$AI$22,VLOOKUP($T47,СГИ!$N$3:$O$22,2),HLOOKUP(AH$6,СГИ!$P$1:$AI$2,2))),"",INDEX(СГИ!$P$3:$AI$22,VLOOKUP($T47,СГИ!$N$3:$O$22,2),HLOOKUP(AH$6,СГИ!$P$1:$AI$2,2)))=1,CONCATENATE("при измерении ",$T47," ",AH$34," не допускается ! "),"")</f>
      </c>
      <c r="AI47" s="277">
        <f>IF(IF(ISNA(INDEX(СГИ!$P$3:$AI$22,VLOOKUP($T47,СГИ!$N$3:$O$22,2),HLOOKUP(AI$6,СГИ!$P$1:$AI$2,2))),"",INDEX(СГИ!$P$3:$AI$22,VLOOKUP($T47,СГИ!$N$3:$O$22,2),HLOOKUP(AI$6,СГИ!$P$1:$AI$2,2)))=1,CONCATENATE("при измерении ",$T47," ",AI$34," не допускается ! "),"")</f>
      </c>
      <c r="AJ47" s="277">
        <f>IF(IF(ISNA(INDEX(СГИ!$P$3:$AI$22,VLOOKUP($T47,СГИ!$N$3:$O$22,2),HLOOKUP(AJ$6,СГИ!$P$1:$AI$2,2))),"",INDEX(СГИ!$P$3:$AI$22,VLOOKUP($T47,СГИ!$N$3:$O$22,2),HLOOKUP(AJ$6,СГИ!$P$1:$AI$2,2)))=1,CONCATENATE("при измерении ",$T47," ",AJ$34," не допускается ! "),"")</f>
      </c>
      <c r="AK47" s="277">
        <f>IF(IF(ISNA(INDEX(СГИ!$P$3:$AI$22,VLOOKUP($T47,СГИ!$N$3:$O$22,2),HLOOKUP(AK$6,СГИ!$P$1:$AI$2,2))),"",INDEX(СГИ!$P$3:$AI$22,VLOOKUP($T47,СГИ!$N$3:$O$22,2),HLOOKUP(AK$6,СГИ!$P$1:$AI$2,2)))=1,CONCATENATE("при измерении ",$T47," ",AK$34," не допускается ! "),"")</f>
      </c>
      <c r="AL47" s="277">
        <f>IF(IF(ISNA(INDEX(СГИ!$P$3:$AI$22,VLOOKUP($T47,СГИ!$N$3:$O$22,2),HLOOKUP(AL$6,СГИ!$P$1:$AI$2,2))),"",INDEX(СГИ!$P$3:$AI$22,VLOOKUP($T47,СГИ!$N$3:$O$22,2),HLOOKUP(AL$6,СГИ!$P$1:$AI$2,2)))=1,CONCATENATE("при измерении ",$T47," ",AL$34," не допускается ! "),"")</f>
      </c>
      <c r="AM47">
        <f t="shared" si="10"/>
      </c>
    </row>
    <row r="48" spans="2:39" ht="12.75" customHeight="1" thickBot="1">
      <c r="B48" s="294"/>
      <c r="C48" s="294"/>
      <c r="D48" s="332" t="s">
        <v>48</v>
      </c>
      <c r="E48" s="333"/>
      <c r="F48" s="280"/>
      <c r="G48" s="910"/>
      <c r="H48" s="267" t="s">
        <v>375</v>
      </c>
      <c r="J48" s="853" t="s">
        <v>401</v>
      </c>
      <c r="K48" s="871" t="str">
        <f>IF(OR(K42="проверьте ввод данных",K42=0),"--",ROUND(K42*0.95,-1)*(1+СГИ!$B$1))</f>
        <v>--</v>
      </c>
      <c r="L48" s="282">
        <f t="shared" si="9"/>
      </c>
      <c r="M48" s="281">
        <f t="shared" si="11"/>
      </c>
      <c r="N48" s="283">
        <f t="shared" si="12"/>
      </c>
      <c r="O48" s="284">
        <f t="shared" si="13"/>
        <v>0</v>
      </c>
      <c r="P48" s="285">
        <f t="shared" si="7"/>
        <v>0</v>
      </c>
      <c r="Q48" s="273">
        <f>IF(SUM($E$35:$E$52)&gt;8,IF(OR(D48="O3"),"--",VLOOKUP(D48,СГИ!$A$8:$G$27,3,TRUE)+VLOOKUP(D48,СГИ!$A$8:$G$27,2,TRUE)),VLOOKUP(D48,СГИ!$A$8:$G$27,3,TRUE))</f>
        <v>19770</v>
      </c>
      <c r="R48" s="274">
        <f>IF(O48&gt;0,VLOOKUP(S48,СГИ!$A$8:$G$27,5,TRUE),"")</f>
      </c>
      <c r="S48" s="274">
        <f t="shared" si="8"/>
      </c>
      <c r="T48" s="276">
        <f t="shared" si="14"/>
      </c>
      <c r="U48" s="277">
        <f>IF(IF(ISNA(INDEX(СГИ!$P$3:$AI$22,VLOOKUP($T48,СГИ!$N$3:$O$22,2),HLOOKUP(U$6,СГИ!$P$1:$AI$2,2))),"",INDEX(СГИ!$P$3:$AI$22,VLOOKUP($T48,СГИ!$N$3:$O$22,2),HLOOKUP(U$6,СГИ!$P$1:$AI$2,2)))=1,CONCATENATE("при измерении ",$T48," ",U$34," не допускается ! "),"")</f>
      </c>
      <c r="V48" s="277">
        <f>IF(IF(ISNA(INDEX(СГИ!$P$3:$AI$22,VLOOKUP($T48,СГИ!$N$3:$O$22,2),HLOOKUP(V$6,СГИ!$P$1:$AI$2,2))),"",INDEX(СГИ!$P$3:$AI$22,VLOOKUP($T48,СГИ!$N$3:$O$22,2),HLOOKUP(V$6,СГИ!$P$1:$AI$2,2)))=1,CONCATENATE("при измерении ",$T48," ",V$34," не допускается ! "),"")</f>
      </c>
      <c r="W48" s="277">
        <f>IF(IF(ISNA(INDEX(СГИ!$P$3:$AI$22,VLOOKUP($T48,СГИ!$N$3:$O$22,2),HLOOKUP(W$6,СГИ!$P$1:$AI$2,2))),"",INDEX(СГИ!$P$3:$AI$22,VLOOKUP($T48,СГИ!$N$3:$O$22,2),HLOOKUP(W$6,СГИ!$P$1:$AI$2,2)))=1,CONCATENATE("при измерении ",$T48," ",W$34," не допускается ! "),"")</f>
      </c>
      <c r="X48" s="277">
        <f>IF(IF(ISNA(INDEX(СГИ!$P$3:$AI$22,VLOOKUP($T48,СГИ!$N$3:$O$22,2),HLOOKUP(X$6,СГИ!$P$1:$AI$2,2))),"",INDEX(СГИ!$P$3:$AI$22,VLOOKUP($T48,СГИ!$N$3:$O$22,2),HLOOKUP(X$6,СГИ!$P$1:$AI$2,2)))=1,CONCATENATE("при измерении ",$T48," ",X$34," не допускается ! "),"")</f>
      </c>
      <c r="Y48" s="277">
        <f>IF(IF(ISNA(INDEX(СГИ!$P$3:$AI$22,VLOOKUP($T48,СГИ!$N$3:$O$22,2),HLOOKUP(Y$6,СГИ!$P$1:$AI$2,2))),"",INDEX(СГИ!$P$3:$AI$22,VLOOKUP($T48,СГИ!$N$3:$O$22,2),HLOOKUP(Y$6,СГИ!$P$1:$AI$2,2)))=1,CONCATENATE("при измерении ",$T48," ",Y$34," не допускается ! "),"")</f>
      </c>
      <c r="Z48" s="277">
        <f>IF(IF(ISNA(INDEX(СГИ!$P$3:$AI$22,VLOOKUP($T48,СГИ!$N$3:$O$22,2),HLOOKUP(Z$6,СГИ!$P$1:$AI$2,2))),"",INDEX(СГИ!$P$3:$AI$22,VLOOKUP($T48,СГИ!$N$3:$O$22,2),HLOOKUP(Z$6,СГИ!$P$1:$AI$2,2)))=1,CONCATENATE("при измерении ",$T48," ",Z$34," не допускается ! "),"")</f>
      </c>
      <c r="AA48" s="277">
        <f>IF(IF(ISNA(INDEX(СГИ!$P$3:$AI$22,VLOOKUP($T48,СГИ!$N$3:$O$22,2),HLOOKUP(AA$6,СГИ!$P$1:$AI$2,2))),"",INDEX(СГИ!$P$3:$AI$22,VLOOKUP($T48,СГИ!$N$3:$O$22,2),HLOOKUP(AA$6,СГИ!$P$1:$AI$2,2)))=1,CONCATENATE("при измерении ",$T48," ",AA$34," не допускается ! "),"")</f>
      </c>
      <c r="AB48" s="277">
        <f>IF(IF(ISNA(INDEX(СГИ!$P$3:$AI$22,VLOOKUP($T48,СГИ!$N$3:$O$22,2),HLOOKUP(AB$6,СГИ!$P$1:$AI$2,2))),"",INDEX(СГИ!$P$3:$AI$22,VLOOKUP($T48,СГИ!$N$3:$O$22,2),HLOOKUP(AB$6,СГИ!$P$1:$AI$2,2)))=1,CONCATENATE("при измерении ",$T48," ",AB$34," не допускается ! "),"")</f>
      </c>
      <c r="AC48" s="277">
        <f>IF(IF(ISNA(INDEX(СГИ!$P$3:$AI$22,VLOOKUP($T48,СГИ!$N$3:$O$22,2),HLOOKUP(AC$6,СГИ!$P$1:$AI$2,2))),"",INDEX(СГИ!$P$3:$AI$22,VLOOKUP($T48,СГИ!$N$3:$O$22,2),HLOOKUP(AC$6,СГИ!$P$1:$AI$2,2)))=1,CONCATENATE("при измерении ",$T48," ",AC$34," не допускается ! "),"")</f>
      </c>
      <c r="AD48" s="277">
        <f>IF(IF(ISNA(INDEX(СГИ!$P$3:$AI$22,VLOOKUP($T48,СГИ!$N$3:$O$22,2),HLOOKUP(AD$6,СГИ!$P$1:$AI$2,2))),"",INDEX(СГИ!$P$3:$AI$22,VLOOKUP($T48,СГИ!$N$3:$O$22,2),HLOOKUP(AD$6,СГИ!$P$1:$AI$2,2)))=1,CONCATENATE("при измерении ",$T48," ",AD$34," не допускается ! "),"")</f>
      </c>
      <c r="AE48" s="277">
        <f>IF(IF(ISNA(INDEX(СГИ!$P$3:$AI$22,VLOOKUP($T48,СГИ!$N$3:$O$22,2),HLOOKUP(AE$6,СГИ!$P$1:$AI$2,2))),"",INDEX(СГИ!$P$3:$AI$22,VLOOKUP($T48,СГИ!$N$3:$O$22,2),HLOOKUP(AE$6,СГИ!$P$1:$AI$2,2)))=1,CONCATENATE("при измерении ",$T48," ",AE$34," не допускается ! "),"")</f>
      </c>
      <c r="AF48" s="277">
        <f>IF(IF(ISNA(INDEX(СГИ!$P$3:$AI$22,VLOOKUP($T48,СГИ!$N$3:$O$22,2),HLOOKUP(AF$6,СГИ!$P$1:$AI$2,2))),"",INDEX(СГИ!$P$3:$AI$22,VLOOKUP($T48,СГИ!$N$3:$O$22,2),HLOOKUP(AF$6,СГИ!$P$1:$AI$2,2)))=1,CONCATENATE("при измерении ",$T48," ",AF$34," не допускается ! "),"")</f>
      </c>
      <c r="AG48" s="277">
        <f>IF(IF(ISNA(INDEX(СГИ!$P$3:$AI$22,VLOOKUP($T48,СГИ!$N$3:$O$22,2),HLOOKUP(AG$6,СГИ!$P$1:$AI$2,2))),"",INDEX(СГИ!$P$3:$AI$22,VLOOKUP($T48,СГИ!$N$3:$O$22,2),HLOOKUP(AG$6,СГИ!$P$1:$AI$2,2)))=1,CONCATENATE("при измерении ",$T48," ",AG$34," не допускается ! "),"")</f>
      </c>
      <c r="AH48" s="277">
        <f>IF(IF(ISNA(INDEX(СГИ!$P$3:$AI$22,VLOOKUP($T48,СГИ!$N$3:$O$22,2),HLOOKUP(AH$6,СГИ!$P$1:$AI$2,2))),"",INDEX(СГИ!$P$3:$AI$22,VLOOKUP($T48,СГИ!$N$3:$O$22,2),HLOOKUP(AH$6,СГИ!$P$1:$AI$2,2)))=1,CONCATENATE("при измерении ",$T48," ",AH$34," не допускается ! "),"")</f>
      </c>
      <c r="AI48" s="277">
        <f>IF(IF(ISNA(INDEX(СГИ!$P$3:$AI$22,VLOOKUP($T48,СГИ!$N$3:$O$22,2),HLOOKUP(AI$6,СГИ!$P$1:$AI$2,2))),"",INDEX(СГИ!$P$3:$AI$22,VLOOKUP($T48,СГИ!$N$3:$O$22,2),HLOOKUP(AI$6,СГИ!$P$1:$AI$2,2)))=1,CONCATENATE("при измерении ",$T48," ",AI$34," не допускается ! "),"")</f>
      </c>
      <c r="AJ48" s="277">
        <f>IF(IF(ISNA(INDEX(СГИ!$P$3:$AI$22,VLOOKUP($T48,СГИ!$N$3:$O$22,2),HLOOKUP(AJ$6,СГИ!$P$1:$AI$2,2))),"",INDEX(СГИ!$P$3:$AI$22,VLOOKUP($T48,СГИ!$N$3:$O$22,2),HLOOKUP(AJ$6,СГИ!$P$1:$AI$2,2)))=1,CONCATENATE("при измерении ",$T48," ",AJ$34," не допускается ! "),"")</f>
      </c>
      <c r="AK48" s="277">
        <f>IF(IF(ISNA(INDEX(СГИ!$P$3:$AI$22,VLOOKUP($T48,СГИ!$N$3:$O$22,2),HLOOKUP(AK$6,СГИ!$P$1:$AI$2,2))),"",INDEX(СГИ!$P$3:$AI$22,VLOOKUP($T48,СГИ!$N$3:$O$22,2),HLOOKUP(AK$6,СГИ!$P$1:$AI$2,2)))=1,CONCATENATE("при измерении ",$T48," ",AK$34," не допускается ! "),"")</f>
      </c>
      <c r="AL48" s="277">
        <f>IF(IF(ISNA(INDEX(СГИ!$P$3:$AI$22,VLOOKUP($T48,СГИ!$N$3:$O$22,2),HLOOKUP(AL$6,СГИ!$P$1:$AI$2,2))),"",INDEX(СГИ!$P$3:$AI$22,VLOOKUP($T48,СГИ!$N$3:$O$22,2),HLOOKUP(AL$6,СГИ!$P$1:$AI$2,2)))=1,CONCATENATE("при измерении ",$T48," ",AL$34," не допускается ! "),"")</f>
      </c>
      <c r="AM48">
        <f t="shared" si="10"/>
      </c>
    </row>
    <row r="49" spans="2:39" ht="15.75" customHeight="1" thickBot="1">
      <c r="B49" s="294"/>
      <c r="C49" s="294"/>
      <c r="D49" s="335" t="s">
        <v>424</v>
      </c>
      <c r="E49" s="336"/>
      <c r="F49" s="302"/>
      <c r="G49" s="302"/>
      <c r="H49" s="303" t="s">
        <v>425</v>
      </c>
      <c r="I49" s="304"/>
      <c r="J49" s="867"/>
      <c r="K49" s="881">
        <f>IF(E48&gt;0,"возможны скидки, звоните (812) 552-98-31, 336-42-06","")</f>
      </c>
      <c r="L49" s="282">
        <f t="shared" si="9"/>
      </c>
      <c r="M49" s="281">
        <f t="shared" si="11"/>
      </c>
      <c r="N49" s="299">
        <f t="shared" si="12"/>
      </c>
      <c r="O49" s="300">
        <f t="shared" si="13"/>
        <v>0</v>
      </c>
      <c r="P49" s="285">
        <f t="shared" si="7"/>
        <v>0</v>
      </c>
      <c r="Q49" s="273">
        <f>IF(SUM($E$35:$E$52)&gt;8,IF(OR(D49="O3"),"--",VLOOKUP(D49,СГИ!$A$8:$G$27,3,TRUE)+VLOOKUP(D49,СГИ!$A$8:$G$27,2,TRUE)),VLOOKUP(D49,СГИ!$A$8:$G$27,3,TRUE))</f>
        <v>0</v>
      </c>
      <c r="R49" s="274">
        <f>IF(O49&gt;0,VLOOKUP(S49,СГИ!$A$8:$G$27,5,TRUE),"")</f>
      </c>
      <c r="S49" s="274">
        <f t="shared" si="8"/>
      </c>
      <c r="T49" s="276">
        <f>IF(S49="","","O3")</f>
      </c>
      <c r="U49" s="277">
        <f>IF(IF(ISNA(INDEX(СГИ!$P$3:$AI$22,VLOOKUP($T49,СГИ!$N$3:$O$22,2),HLOOKUP(U$6,СГИ!$P$1:$AI$2,2))),"",INDEX(СГИ!$P$3:$AI$22,VLOOKUP($T49,СГИ!$N$3:$O$22,2),HLOOKUP(U$6,СГИ!$P$1:$AI$2,2)))=1,CONCATENATE("при измерении ",$T49," ",U$34," не допускается ! "),"")</f>
      </c>
      <c r="V49" s="277">
        <f>IF(IF(ISNA(INDEX(СГИ!$P$3:$AI$22,VLOOKUP($T49,СГИ!$N$3:$O$22,2),HLOOKUP(V$6,СГИ!$P$1:$AI$2,2))),"",INDEX(СГИ!$P$3:$AI$22,VLOOKUP($T49,СГИ!$N$3:$O$22,2),HLOOKUP(V$6,СГИ!$P$1:$AI$2,2)))=1,CONCATENATE("при измерении ",$T49," ",V$34," не допускается ! "),"")</f>
      </c>
      <c r="W49" s="277">
        <f>IF(IF(ISNA(INDEX(СГИ!$P$3:$AI$22,VLOOKUP($T49,СГИ!$N$3:$O$22,2),HLOOKUP(W$6,СГИ!$P$1:$AI$2,2))),"",INDEX(СГИ!$P$3:$AI$22,VLOOKUP($T49,СГИ!$N$3:$O$22,2),HLOOKUP(W$6,СГИ!$P$1:$AI$2,2)))=1,CONCATENATE("при измерении ",$T49," ",W$34," не допускается ! "),"")</f>
      </c>
      <c r="X49" s="277">
        <f>IF(IF(ISNA(INDEX(СГИ!$P$3:$AI$22,VLOOKUP($T49,СГИ!$N$3:$O$22,2),HLOOKUP(X$6,СГИ!$P$1:$AI$2,2))),"",INDEX(СГИ!$P$3:$AI$22,VLOOKUP($T49,СГИ!$N$3:$O$22,2),HLOOKUP(X$6,СГИ!$P$1:$AI$2,2)))=1,CONCATENATE("при измерении ",$T49," ",X$34," не допускается ! "),"")</f>
      </c>
      <c r="Y49" s="277">
        <f>IF(IF(ISNA(INDEX(СГИ!$P$3:$AI$22,VLOOKUP($T49,СГИ!$N$3:$O$22,2),HLOOKUP(Y$6,СГИ!$P$1:$AI$2,2))),"",INDEX(СГИ!$P$3:$AI$22,VLOOKUP($T49,СГИ!$N$3:$O$22,2),HLOOKUP(Y$6,СГИ!$P$1:$AI$2,2)))=1,CONCATENATE("при измерении ",$T49," ",Y$34," не допускается ! "),"")</f>
      </c>
      <c r="Z49" s="277">
        <f>IF(IF(ISNA(INDEX(СГИ!$P$3:$AI$22,VLOOKUP($T49,СГИ!$N$3:$O$22,2),HLOOKUP(Z$6,СГИ!$P$1:$AI$2,2))),"",INDEX(СГИ!$P$3:$AI$22,VLOOKUP($T49,СГИ!$N$3:$O$22,2),HLOOKUP(Z$6,СГИ!$P$1:$AI$2,2)))=1,CONCATENATE("при измерении ",$T49," ",Z$34," не допускается ! "),"")</f>
      </c>
      <c r="AA49" s="277">
        <f>IF(IF(ISNA(INDEX(СГИ!$P$3:$AI$22,VLOOKUP($T49,СГИ!$N$3:$O$22,2),HLOOKUP(AA$6,СГИ!$P$1:$AI$2,2))),"",INDEX(СГИ!$P$3:$AI$22,VLOOKUP($T49,СГИ!$N$3:$O$22,2),HLOOKUP(AA$6,СГИ!$P$1:$AI$2,2)))=1,CONCATENATE("при измерении ",$T49," ",AA$34," не допускается ! "),"")</f>
      </c>
      <c r="AB49" s="277">
        <f>IF(IF(ISNA(INDEX(СГИ!$P$3:$AI$22,VLOOKUP($T49,СГИ!$N$3:$O$22,2),HLOOKUP(AB$6,СГИ!$P$1:$AI$2,2))),"",INDEX(СГИ!$P$3:$AI$22,VLOOKUP($T49,СГИ!$N$3:$O$22,2),HLOOKUP(AB$6,СГИ!$P$1:$AI$2,2)))=1,CONCATENATE("при измерении ",$T49," ",AB$34," не допускается ! "),"")</f>
      </c>
      <c r="AC49" s="277">
        <f>IF(IF(ISNA(INDEX(СГИ!$P$3:$AI$22,VLOOKUP($T49,СГИ!$N$3:$O$22,2),HLOOKUP(AC$6,СГИ!$P$1:$AI$2,2))),"",INDEX(СГИ!$P$3:$AI$22,VLOOKUP($T49,СГИ!$N$3:$O$22,2),HLOOKUP(AC$6,СГИ!$P$1:$AI$2,2)))=1,CONCATENATE("при измерении ",$T49," ",AC$34," не допускается ! "),"")</f>
      </c>
      <c r="AD49" s="277">
        <f>IF(IF(ISNA(INDEX(СГИ!$P$3:$AI$22,VLOOKUP($T49,СГИ!$N$3:$O$22,2),HLOOKUP(AD$6,СГИ!$P$1:$AI$2,2))),"",INDEX(СГИ!$P$3:$AI$22,VLOOKUP($T49,СГИ!$N$3:$O$22,2),HLOOKUP(AD$6,СГИ!$P$1:$AI$2,2)))=1,CONCATENATE("при измерении ",$T49," ",AD$34," не допускается ! "),"")</f>
      </c>
      <c r="AE49" s="277">
        <f>IF(IF(ISNA(INDEX(СГИ!$P$3:$AI$22,VLOOKUP($T49,СГИ!$N$3:$O$22,2),HLOOKUP(AE$6,СГИ!$P$1:$AI$2,2))),"",INDEX(СГИ!$P$3:$AI$22,VLOOKUP($T49,СГИ!$N$3:$O$22,2),HLOOKUP(AE$6,СГИ!$P$1:$AI$2,2)))=1,CONCATENATE("при измерении ",$T49," ",AE$34," не допускается ! "),"")</f>
      </c>
      <c r="AF49" s="277">
        <f>IF(IF(ISNA(INDEX(СГИ!$P$3:$AI$22,VLOOKUP($T49,СГИ!$N$3:$O$22,2),HLOOKUP(AF$6,СГИ!$P$1:$AI$2,2))),"",INDEX(СГИ!$P$3:$AI$22,VLOOKUP($T49,СГИ!$N$3:$O$22,2),HLOOKUP(AF$6,СГИ!$P$1:$AI$2,2)))=1,CONCATENATE("при измерении ",$T49," ",AF$34," не допускается ! "),"")</f>
      </c>
      <c r="AG49" s="277">
        <f>IF(IF(ISNA(INDEX(СГИ!$P$3:$AI$22,VLOOKUP($T49,СГИ!$N$3:$O$22,2),HLOOKUP(AG$6,СГИ!$P$1:$AI$2,2))),"",INDEX(СГИ!$P$3:$AI$22,VLOOKUP($T49,СГИ!$N$3:$O$22,2),HLOOKUP(AG$6,СГИ!$P$1:$AI$2,2)))=1,CONCATENATE("при измерении ",$T49," ",AG$34," не допускается ! "),"")</f>
      </c>
      <c r="AH49" s="277">
        <f>IF(IF(ISNA(INDEX(СГИ!$P$3:$AI$22,VLOOKUP($T49,СГИ!$N$3:$O$22,2),HLOOKUP(AH$6,СГИ!$P$1:$AI$2,2))),"",INDEX(СГИ!$P$3:$AI$22,VLOOKUP($T49,СГИ!$N$3:$O$22,2),HLOOKUP(AH$6,СГИ!$P$1:$AI$2,2)))=1,CONCATENATE("при измерении ",$T49," ",AH$34," не допускается ! "),"")</f>
      </c>
      <c r="AI49" s="277">
        <f>IF(IF(ISNA(INDEX(СГИ!$P$3:$AI$22,VLOOKUP($T49,СГИ!$N$3:$O$22,2),HLOOKUP(AI$6,СГИ!$P$1:$AI$2,2))),"",INDEX(СГИ!$P$3:$AI$22,VLOOKUP($T49,СГИ!$N$3:$O$22,2),HLOOKUP(AI$6,СГИ!$P$1:$AI$2,2)))=1,CONCATENATE("при измерении ",$T49," ",AI$34," не допускается ! "),"")</f>
      </c>
      <c r="AJ49" s="277">
        <f>IF(IF(ISNA(INDEX(СГИ!$P$3:$AI$22,VLOOKUP($T49,СГИ!$N$3:$O$22,2),HLOOKUP(AJ$6,СГИ!$P$1:$AI$2,2))),"",INDEX(СГИ!$P$3:$AI$22,VLOOKUP($T49,СГИ!$N$3:$O$22,2),HLOOKUP(AJ$6,СГИ!$P$1:$AI$2,2)))=1,CONCATENATE("при измерении ",$T49," ",AJ$34," не допускается ! "),"")</f>
      </c>
      <c r="AK49" s="277">
        <f>IF(IF(ISNA(INDEX(СГИ!$P$3:$AI$22,VLOOKUP($T49,СГИ!$N$3:$O$22,2),HLOOKUP(AK$6,СГИ!$P$1:$AI$2,2))),"",INDEX(СГИ!$P$3:$AI$22,VLOOKUP($T49,СГИ!$N$3:$O$22,2),HLOOKUP(AK$6,СГИ!$P$1:$AI$2,2)))=1,CONCATENATE("при измерении ",$T49," ",AK$34," не допускается ! "),"")</f>
      </c>
      <c r="AL49" s="277">
        <f>IF(IF(ISNA(INDEX(СГИ!$P$3:$AI$22,VLOOKUP($T49,СГИ!$N$3:$O$22,2),HLOOKUP(AL$6,СГИ!$P$1:$AI$2,2))),"",INDEX(СГИ!$P$3:$AI$22,VLOOKUP($T49,СГИ!$N$3:$O$22,2),HLOOKUP(AL$6,СГИ!$P$1:$AI$2,2)))=1,CONCATENATE("при измерении ",$T49," ",AL$34," не допускается ! "),"")</f>
      </c>
      <c r="AM49">
        <f t="shared" si="10"/>
      </c>
    </row>
    <row r="50" spans="2:39" ht="25.5" customHeight="1" thickBot="1">
      <c r="B50" s="294"/>
      <c r="C50" s="294"/>
      <c r="D50" s="335" t="s">
        <v>426</v>
      </c>
      <c r="E50" s="305"/>
      <c r="F50" s="305"/>
      <c r="G50" s="305"/>
      <c r="H50" s="303" t="s">
        <v>403</v>
      </c>
      <c r="I50" s="304"/>
      <c r="J50" s="882" t="s">
        <v>427</v>
      </c>
      <c r="K50" s="870" t="s">
        <v>406</v>
      </c>
      <c r="L50" s="282">
        <f t="shared" si="9"/>
      </c>
      <c r="M50" s="281">
        <f t="shared" si="11"/>
      </c>
      <c r="N50" s="283">
        <f>IF(AND($O50&gt;1,$O50&lt;9),CONCATENATE("-",$O50,$M50),IF($O50=1,CONCATENATE("-",$M50),""))</f>
      </c>
      <c r="O50" s="337">
        <f t="shared" si="13"/>
        <v>0</v>
      </c>
      <c r="Q50" s="273">
        <f>IF(SUM($E$35:$E$52)&gt;8,IF(OR(D50="O3"),"--",VLOOKUP(D50,СГИ!$A$8:$G$27,3,TRUE)+VLOOKUP(D50,СГИ!$A$8:$G$27,2,TRUE)),VLOOKUP(D50,СГИ!$A$8:$G$27,3,TRUE))</f>
        <v>21070</v>
      </c>
      <c r="R50" s="274">
        <f>IF(O50&gt;0,VLOOKUP(S50,СГИ!$A$8:$G$27,5,TRUE),"")</f>
      </c>
      <c r="S50" s="274">
        <f t="shared" si="8"/>
      </c>
      <c r="T50" s="276">
        <f>IF(S50="","","F2")</f>
      </c>
      <c r="U50" s="277">
        <f>IF(IF(ISNA(INDEX(СГИ!$P$3:$AI$22,VLOOKUP($T50,СГИ!$N$3:$O$22,2),HLOOKUP(U$6,СГИ!$P$1:$AI$2,2))),"",INDEX(СГИ!$P$3:$AI$22,VLOOKUP($T50,СГИ!$N$3:$O$22,2),HLOOKUP(U$6,СГИ!$P$1:$AI$2,2)))=1,CONCATENATE("при измерении ",$T50," ",U$34," не допускается ! "),"")</f>
      </c>
      <c r="V50" s="277">
        <f>IF(IF(ISNA(INDEX(СГИ!$P$3:$AI$22,VLOOKUP($T50,СГИ!$N$3:$O$22,2),HLOOKUP(V$6,СГИ!$P$1:$AI$2,2))),"",INDEX(СГИ!$P$3:$AI$22,VLOOKUP($T50,СГИ!$N$3:$O$22,2),HLOOKUP(V$6,СГИ!$P$1:$AI$2,2)))=1,CONCATENATE("при измерении ",$T50," ",V$34," не допускается ! "),"")</f>
      </c>
      <c r="W50" s="277">
        <f>IF(IF(ISNA(INDEX(СГИ!$P$3:$AI$22,VLOOKUP($T50,СГИ!$N$3:$O$22,2),HLOOKUP(W$6,СГИ!$P$1:$AI$2,2))),"",INDEX(СГИ!$P$3:$AI$22,VLOOKUP($T50,СГИ!$N$3:$O$22,2),HLOOKUP(W$6,СГИ!$P$1:$AI$2,2)))=1,CONCATENATE("при измерении ",$T50," ",W$34," не допускается ! "),"")</f>
      </c>
      <c r="X50" s="277">
        <f>IF(IF(ISNA(INDEX(СГИ!$P$3:$AI$22,VLOOKUP($T50,СГИ!$N$3:$O$22,2),HLOOKUP(X$6,СГИ!$P$1:$AI$2,2))),"",INDEX(СГИ!$P$3:$AI$22,VLOOKUP($T50,СГИ!$N$3:$O$22,2),HLOOKUP(X$6,СГИ!$P$1:$AI$2,2)))=1,CONCATENATE("при измерении ",$T50," ",X$34," не допускается ! "),"")</f>
      </c>
      <c r="Y50" s="277">
        <f>IF(IF(ISNA(INDEX(СГИ!$P$3:$AI$22,VLOOKUP($T50,СГИ!$N$3:$O$22,2),HLOOKUP(Y$6,СГИ!$P$1:$AI$2,2))),"",INDEX(СГИ!$P$3:$AI$22,VLOOKUP($T50,СГИ!$N$3:$O$22,2),HLOOKUP(Y$6,СГИ!$P$1:$AI$2,2)))=1,CONCATENATE("при измерении ",$T50," ",Y$34," не допускается ! "),"")</f>
      </c>
      <c r="Z50" s="277">
        <f>IF(IF(ISNA(INDEX(СГИ!$P$3:$AI$22,VLOOKUP($T50,СГИ!$N$3:$O$22,2),HLOOKUP(Z$6,СГИ!$P$1:$AI$2,2))),"",INDEX(СГИ!$P$3:$AI$22,VLOOKUP($T50,СГИ!$N$3:$O$22,2),HLOOKUP(Z$6,СГИ!$P$1:$AI$2,2)))=1,CONCATENATE("при измерении ",$T50," ",Z$34," не допускается ! "),"")</f>
      </c>
      <c r="AA50" s="277">
        <f>IF(IF(ISNA(INDEX(СГИ!$P$3:$AI$22,VLOOKUP($T50,СГИ!$N$3:$O$22,2),HLOOKUP(AA$6,СГИ!$P$1:$AI$2,2))),"",INDEX(СГИ!$P$3:$AI$22,VLOOKUP($T50,СГИ!$N$3:$O$22,2),HLOOKUP(AA$6,СГИ!$P$1:$AI$2,2)))=1,CONCATENATE("при измерении ",$T50," ",AA$34," не допускается ! "),"")</f>
      </c>
      <c r="AB50" s="277">
        <f>IF(IF(ISNA(INDEX(СГИ!$P$3:$AI$22,VLOOKUP($T50,СГИ!$N$3:$O$22,2),HLOOKUP(AB$6,СГИ!$P$1:$AI$2,2))),"",INDEX(СГИ!$P$3:$AI$22,VLOOKUP($T50,СГИ!$N$3:$O$22,2),HLOOKUP(AB$6,СГИ!$P$1:$AI$2,2)))=1,CONCATENATE("при измерении ",$T50," ",AB$34," не допускается ! "),"")</f>
      </c>
      <c r="AC50" s="277">
        <f>IF(IF(ISNA(INDEX(СГИ!$P$3:$AI$22,VLOOKUP($T50,СГИ!$N$3:$O$22,2),HLOOKUP(AC$6,СГИ!$P$1:$AI$2,2))),"",INDEX(СГИ!$P$3:$AI$22,VLOOKUP($T50,СГИ!$N$3:$O$22,2),HLOOKUP(AC$6,СГИ!$P$1:$AI$2,2)))=1,CONCATENATE("при измерении ",$T50," ",AC$34," не допускается ! "),"")</f>
      </c>
      <c r="AD50" s="277">
        <f>IF(IF(ISNA(INDEX(СГИ!$P$3:$AI$22,VLOOKUP($T50,СГИ!$N$3:$O$22,2),HLOOKUP(AD$6,СГИ!$P$1:$AI$2,2))),"",INDEX(СГИ!$P$3:$AI$22,VLOOKUP($T50,СГИ!$N$3:$O$22,2),HLOOKUP(AD$6,СГИ!$P$1:$AI$2,2)))=1,CONCATENATE("при измерении ",$T50," ",AD$34," не допускается ! "),"")</f>
      </c>
      <c r="AE50" s="277">
        <f>IF(IF(ISNA(INDEX(СГИ!$P$3:$AI$22,VLOOKUP($T50,СГИ!$N$3:$O$22,2),HLOOKUP(AE$6,СГИ!$P$1:$AI$2,2))),"",INDEX(СГИ!$P$3:$AI$22,VLOOKUP($T50,СГИ!$N$3:$O$22,2),HLOOKUP(AE$6,СГИ!$P$1:$AI$2,2)))=1,CONCATENATE("при измерении ",$T50," ",AE$34," не допускается ! "),"")</f>
      </c>
      <c r="AF50" s="277">
        <f>IF(IF(ISNA(INDEX(СГИ!$P$3:$AI$22,VLOOKUP($T50,СГИ!$N$3:$O$22,2),HLOOKUP(AF$6,СГИ!$P$1:$AI$2,2))),"",INDEX(СГИ!$P$3:$AI$22,VLOOKUP($T50,СГИ!$N$3:$O$22,2),HLOOKUP(AF$6,СГИ!$P$1:$AI$2,2)))=1,CONCATENATE("при измерении ",$T50," ",AF$34," не допускается ! "),"")</f>
      </c>
      <c r="AG50" s="277">
        <f>IF(IF(ISNA(INDEX(СГИ!$P$3:$AI$22,VLOOKUP($T50,СГИ!$N$3:$O$22,2),HLOOKUP(AG$6,СГИ!$P$1:$AI$2,2))),"",INDEX(СГИ!$P$3:$AI$22,VLOOKUP($T50,СГИ!$N$3:$O$22,2),HLOOKUP(AG$6,СГИ!$P$1:$AI$2,2)))=1,CONCATENATE("при измерении ",$T50," ",AG$34," не допускается ! "),"")</f>
      </c>
      <c r="AH50" s="277">
        <f>IF(IF(ISNA(INDEX(СГИ!$P$3:$AI$22,VLOOKUP($T50,СГИ!$N$3:$O$22,2),HLOOKUP(AH$6,СГИ!$P$1:$AI$2,2))),"",INDEX(СГИ!$P$3:$AI$22,VLOOKUP($T50,СГИ!$N$3:$O$22,2),HLOOKUP(AH$6,СГИ!$P$1:$AI$2,2)))=1,CONCATENATE("при измерении ",$T50," ",AH$34," не допускается ! "),"")</f>
      </c>
      <c r="AI50" s="277">
        <f>IF(IF(ISNA(INDEX(СГИ!$P$3:$AI$22,VLOOKUP($T50,СГИ!$N$3:$O$22,2),HLOOKUP(AI$6,СГИ!$P$1:$AI$2,2))),"",INDEX(СГИ!$P$3:$AI$22,VLOOKUP($T50,СГИ!$N$3:$O$22,2),HLOOKUP(AI$6,СГИ!$P$1:$AI$2,2)))=1,CONCATENATE("при измерении ",$T50," ",AI$34," не допускается ! "),"")</f>
      </c>
      <c r="AJ50" s="277">
        <f>IF(IF(ISNA(INDEX(СГИ!$P$3:$AI$22,VLOOKUP($T50,СГИ!$N$3:$O$22,2),HLOOKUP(AJ$6,СГИ!$P$1:$AI$2,2))),"",INDEX(СГИ!$P$3:$AI$22,VLOOKUP($T50,СГИ!$N$3:$O$22,2),HLOOKUP(AJ$6,СГИ!$P$1:$AI$2,2)))=1,CONCATENATE("при измерении ",$T50," ",AJ$34," не допускается ! "),"")</f>
      </c>
      <c r="AK50" s="277">
        <f>IF(IF(ISNA(INDEX(СГИ!$P$3:$AI$22,VLOOKUP($T50,СГИ!$N$3:$O$22,2),HLOOKUP(AK$6,СГИ!$P$1:$AI$2,2))),"",INDEX(СГИ!$P$3:$AI$22,VLOOKUP($T50,СГИ!$N$3:$O$22,2),HLOOKUP(AK$6,СГИ!$P$1:$AI$2,2)))=1,CONCATENATE("при измерении ",$T50," ",AK$34," не допускается ! "),"")</f>
      </c>
      <c r="AL50" s="277">
        <f>IF(IF(ISNA(INDEX(СГИ!$P$3:$AI$22,VLOOKUP($T50,СГИ!$N$3:$O$22,2),HLOOKUP(AL$6,СГИ!$P$1:$AI$2,2))),"",INDEX(СГИ!$P$3:$AI$22,VLOOKUP($T50,СГИ!$N$3:$O$22,2),HLOOKUP(AL$6,СГИ!$P$1:$AI$2,2)))=1,CONCATENATE("при измерении ",$T50," ",AL$34," не допускается ! "),"")</f>
      </c>
      <c r="AM50">
        <f t="shared" si="10"/>
      </c>
    </row>
    <row r="51" spans="2:39" ht="23.25" customHeight="1">
      <c r="B51" s="294"/>
      <c r="C51" s="294"/>
      <c r="D51" s="332" t="s">
        <v>117</v>
      </c>
      <c r="E51" s="338"/>
      <c r="F51" s="280"/>
      <c r="G51" s="910"/>
      <c r="H51" s="267" t="s">
        <v>375</v>
      </c>
      <c r="J51" s="853" t="s">
        <v>407</v>
      </c>
      <c r="K51" s="873">
        <v>0.05</v>
      </c>
      <c r="L51" s="282">
        <f t="shared" si="9"/>
      </c>
      <c r="M51" s="281">
        <f t="shared" si="11"/>
      </c>
      <c r="N51" s="283">
        <f>IF(AND($O51&gt;1,$O51&lt;9),CONCATENATE("-",$O51,$M51),IF($O51=1,CONCATENATE("-",$M51),""))</f>
      </c>
      <c r="O51" s="337">
        <f t="shared" si="13"/>
        <v>0</v>
      </c>
      <c r="P51" s="285">
        <f>IF(AND(E$53=1,NOT(E$54=1)),E51,G51)</f>
        <v>0</v>
      </c>
      <c r="Q51" s="273">
        <f>IF(SUM($E$35:$E$52)&gt;8,IF(OR(D51="O3"),"--",VLOOKUP(D51,СГИ!$A$8:$G$27,3,TRUE)+VLOOKUP(D51,СГИ!$A$8:$G$27,2,TRUE)),VLOOKUP(D51,СГИ!$A$8:$G$27,3,TRUE))</f>
        <v>22940</v>
      </c>
      <c r="R51" s="274">
        <f>IF(O51&gt;0,VLOOKUP(S51,СГИ!$A$8:$G$27,5,TRUE),"")</f>
      </c>
      <c r="S51" s="274">
        <f t="shared" si="8"/>
      </c>
      <c r="T51" s="276">
        <f t="shared" si="14"/>
      </c>
      <c r="U51" s="277">
        <f>IF(IF(ISNA(INDEX(СГИ!$P$3:$AI$22,VLOOKUP($T51,СГИ!$N$3:$O$22,2),HLOOKUP(U$6,СГИ!$P$1:$AI$2,2))),"",INDEX(СГИ!$P$3:$AI$22,VLOOKUP($T51,СГИ!$N$3:$O$22,2),HLOOKUP(U$6,СГИ!$P$1:$AI$2,2)))=1,CONCATENATE("при измерении ",$T51," ",U$34," не допускается ! "),"")</f>
      </c>
      <c r="V51" s="277">
        <f>IF(IF(ISNA(INDEX(СГИ!$P$3:$AI$22,VLOOKUP($T51,СГИ!$N$3:$O$22,2),HLOOKUP(V$6,СГИ!$P$1:$AI$2,2))),"",INDEX(СГИ!$P$3:$AI$22,VLOOKUP($T51,СГИ!$N$3:$O$22,2),HLOOKUP(V$6,СГИ!$P$1:$AI$2,2)))=1,CONCATENATE("при измерении ",$T51," ",V$34," не допускается ! "),"")</f>
      </c>
      <c r="W51" s="277">
        <f>IF(IF(ISNA(INDEX(СГИ!$P$3:$AI$22,VLOOKUP($T51,СГИ!$N$3:$O$22,2),HLOOKUP(W$6,СГИ!$P$1:$AI$2,2))),"",INDEX(СГИ!$P$3:$AI$22,VLOOKUP($T51,СГИ!$N$3:$O$22,2),HLOOKUP(W$6,СГИ!$P$1:$AI$2,2)))=1,CONCATENATE("при измерении ",$T51," ",W$34," не допускается ! "),"")</f>
      </c>
      <c r="X51" s="277">
        <f>IF(IF(ISNA(INDEX(СГИ!$P$3:$AI$22,VLOOKUP($T51,СГИ!$N$3:$O$22,2),HLOOKUP(X$6,СГИ!$P$1:$AI$2,2))),"",INDEX(СГИ!$P$3:$AI$22,VLOOKUP($T51,СГИ!$N$3:$O$22,2),HLOOKUP(X$6,СГИ!$P$1:$AI$2,2)))=1,CONCATENATE("при измерении ",$T51," ",X$34," не допускается ! "),"")</f>
      </c>
      <c r="Y51" s="277">
        <f>IF(IF(ISNA(INDEX(СГИ!$P$3:$AI$22,VLOOKUP($T51,СГИ!$N$3:$O$22,2),HLOOKUP(Y$6,СГИ!$P$1:$AI$2,2))),"",INDEX(СГИ!$P$3:$AI$22,VLOOKUP($T51,СГИ!$N$3:$O$22,2),HLOOKUP(Y$6,СГИ!$P$1:$AI$2,2)))=1,CONCATENATE("при измерении ",$T51," ",Y$34," не допускается ! "),"")</f>
      </c>
      <c r="Z51" s="277">
        <f>IF(IF(ISNA(INDEX(СГИ!$P$3:$AI$22,VLOOKUP($T51,СГИ!$N$3:$O$22,2),HLOOKUP(Z$6,СГИ!$P$1:$AI$2,2))),"",INDEX(СГИ!$P$3:$AI$22,VLOOKUP($T51,СГИ!$N$3:$O$22,2),HLOOKUP(Z$6,СГИ!$P$1:$AI$2,2)))=1,CONCATENATE("при измерении ",$T51," ",Z$34," не допускается ! "),"")</f>
      </c>
      <c r="AA51" s="277">
        <f>IF(IF(ISNA(INDEX(СГИ!$P$3:$AI$22,VLOOKUP($T51,СГИ!$N$3:$O$22,2),HLOOKUP(AA$6,СГИ!$P$1:$AI$2,2))),"",INDEX(СГИ!$P$3:$AI$22,VLOOKUP($T51,СГИ!$N$3:$O$22,2),HLOOKUP(AA$6,СГИ!$P$1:$AI$2,2)))=1,CONCATENATE("при измерении ",$T51," ",AA$34," не допускается ! "),"")</f>
      </c>
      <c r="AB51" s="277">
        <f>IF(IF(ISNA(INDEX(СГИ!$P$3:$AI$22,VLOOKUP($T51,СГИ!$N$3:$O$22,2),HLOOKUP(AB$6,СГИ!$P$1:$AI$2,2))),"",INDEX(СГИ!$P$3:$AI$22,VLOOKUP($T51,СГИ!$N$3:$O$22,2),HLOOKUP(AB$6,СГИ!$P$1:$AI$2,2)))=1,CONCATENATE("при измерении ",$T51," ",AB$34," не допускается ! "),"")</f>
      </c>
      <c r="AC51" s="277">
        <f>IF(IF(ISNA(INDEX(СГИ!$P$3:$AI$22,VLOOKUP($T51,СГИ!$N$3:$O$22,2),HLOOKUP(AC$6,СГИ!$P$1:$AI$2,2))),"",INDEX(СГИ!$P$3:$AI$22,VLOOKUP($T51,СГИ!$N$3:$O$22,2),HLOOKUP(AC$6,СГИ!$P$1:$AI$2,2)))=1,CONCATENATE("при измерении ",$T51," ",AC$34," не допускается ! "),"")</f>
      </c>
      <c r="AD51" s="277">
        <f>IF(IF(ISNA(INDEX(СГИ!$P$3:$AI$22,VLOOKUP($T51,СГИ!$N$3:$O$22,2),HLOOKUP(AD$6,СГИ!$P$1:$AI$2,2))),"",INDEX(СГИ!$P$3:$AI$22,VLOOKUP($T51,СГИ!$N$3:$O$22,2),HLOOKUP(AD$6,СГИ!$P$1:$AI$2,2)))=1,CONCATENATE("при измерении ",$T51," ",AD$34," не допускается ! "),"")</f>
      </c>
      <c r="AE51" s="277">
        <f>IF(IF(ISNA(INDEX(СГИ!$P$3:$AI$22,VLOOKUP($T51,СГИ!$N$3:$O$22,2),HLOOKUP(AE$6,СГИ!$P$1:$AI$2,2))),"",INDEX(СГИ!$P$3:$AI$22,VLOOKUP($T51,СГИ!$N$3:$O$22,2),HLOOKUP(AE$6,СГИ!$P$1:$AI$2,2)))=1,CONCATENATE("при измерении ",$T51," ",AE$34," не допускается ! "),"")</f>
      </c>
      <c r="AF51" s="277">
        <f>IF(IF(ISNA(INDEX(СГИ!$P$3:$AI$22,VLOOKUP($T51,СГИ!$N$3:$O$22,2),HLOOKUP(AF$6,СГИ!$P$1:$AI$2,2))),"",INDEX(СГИ!$P$3:$AI$22,VLOOKUP($T51,СГИ!$N$3:$O$22,2),HLOOKUP(AF$6,СГИ!$P$1:$AI$2,2)))=1,CONCATENATE("при измерении ",$T51," ",AF$34," не допускается ! "),"")</f>
      </c>
      <c r="AG51" s="277">
        <f>IF(IF(ISNA(INDEX(СГИ!$P$3:$AI$22,VLOOKUP($T51,СГИ!$N$3:$O$22,2),HLOOKUP(AG$6,СГИ!$P$1:$AI$2,2))),"",INDEX(СГИ!$P$3:$AI$22,VLOOKUP($T51,СГИ!$N$3:$O$22,2),HLOOKUP(AG$6,СГИ!$P$1:$AI$2,2)))=1,CONCATENATE("при измерении ",$T51," ",AG$34," не допускается ! "),"")</f>
      </c>
      <c r="AH51" s="277">
        <f>IF(IF(ISNA(INDEX(СГИ!$P$3:$AI$22,VLOOKUP($T51,СГИ!$N$3:$O$22,2),HLOOKUP(AH$6,СГИ!$P$1:$AI$2,2))),"",INDEX(СГИ!$P$3:$AI$22,VLOOKUP($T51,СГИ!$N$3:$O$22,2),HLOOKUP(AH$6,СГИ!$P$1:$AI$2,2)))=1,CONCATENATE("при измерении ",$T51," ",AH$34," не допускается ! "),"")</f>
      </c>
      <c r="AI51" s="277">
        <f>IF(IF(ISNA(INDEX(СГИ!$P$3:$AI$22,VLOOKUP($T51,СГИ!$N$3:$O$22,2),HLOOKUP(AI$6,СГИ!$P$1:$AI$2,2))),"",INDEX(СГИ!$P$3:$AI$22,VLOOKUP($T51,СГИ!$N$3:$O$22,2),HLOOKUP(AI$6,СГИ!$P$1:$AI$2,2)))=1,CONCATENATE("при измерении ",$T51," ",AI$34," не допускается ! "),"")</f>
      </c>
      <c r="AJ51" s="277">
        <f>IF(IF(ISNA(INDEX(СГИ!$P$3:$AI$22,VLOOKUP($T51,СГИ!$N$3:$O$22,2),HLOOKUP(AJ$6,СГИ!$P$1:$AI$2,2))),"",INDEX(СГИ!$P$3:$AI$22,VLOOKUP($T51,СГИ!$N$3:$O$22,2),HLOOKUP(AJ$6,СГИ!$P$1:$AI$2,2)))=1,CONCATENATE("при измерении ",$T51," ",AJ$34," не допускается ! "),"")</f>
      </c>
      <c r="AK51" s="277">
        <f>IF(IF(ISNA(INDEX(СГИ!$P$3:$AI$22,VLOOKUP($T51,СГИ!$N$3:$O$22,2),HLOOKUP(AK$6,СГИ!$P$1:$AI$2,2))),"",INDEX(СГИ!$P$3:$AI$22,VLOOKUP($T51,СГИ!$N$3:$O$22,2),HLOOKUP(AK$6,СГИ!$P$1:$AI$2,2)))=1,CONCATENATE("при измерении ",$T51," ",AK$34," не допускается ! "),"")</f>
      </c>
      <c r="AL51" s="277">
        <f>IF(IF(ISNA(INDEX(СГИ!$P$3:$AI$22,VLOOKUP($T51,СГИ!$N$3:$O$22,2),HLOOKUP(AL$6,СГИ!$P$1:$AI$2,2))),"",INDEX(СГИ!$P$3:$AI$22,VLOOKUP($T51,СГИ!$N$3:$O$22,2),HLOOKUP(AL$6,СГИ!$P$1:$AI$2,2)))=1,CONCATENATE("при измерении ",$T51," ",AL$34," не допускается ! "),"")</f>
      </c>
      <c r="AM51">
        <f t="shared" si="10"/>
      </c>
    </row>
    <row r="52" spans="2:39" ht="23.25" customHeight="1" thickBot="1">
      <c r="B52" s="294"/>
      <c r="C52" s="294"/>
      <c r="D52" s="339" t="s">
        <v>408</v>
      </c>
      <c r="E52" s="338"/>
      <c r="F52" s="307"/>
      <c r="G52" s="911"/>
      <c r="H52" s="267" t="s">
        <v>375</v>
      </c>
      <c r="J52" s="874" t="s">
        <v>409</v>
      </c>
      <c r="K52" s="875" t="str">
        <f>IF($K51&gt;0.2,"скидка указана неверно",IF(K42="проверьте ввод данных","--",ROUND(K42*(1-$K51),2)))</f>
        <v>--</v>
      </c>
      <c r="L52" s="309">
        <f t="shared" si="9"/>
      </c>
      <c r="M52" s="308">
        <f t="shared" si="11"/>
      </c>
      <c r="N52" s="340">
        <f t="shared" si="12"/>
      </c>
      <c r="O52" s="341">
        <f t="shared" si="13"/>
        <v>0</v>
      </c>
      <c r="P52" s="285">
        <f>IF(AND(E$53=1,NOT(E$54=1)),E52,G52)</f>
        <v>0</v>
      </c>
      <c r="Q52" s="273">
        <f>IF(SUM($E$35:$E$52)&gt;8,IF(OR(D52="O3"),"--",VLOOKUP(D52,СГИ!$A$8:$G$27,3,TRUE)+VLOOKUP(D52,СГИ!$A$8:$G$27,2,TRUE)),VLOOKUP(D52,СГИ!$A$8:$G$27,3,TRUE))</f>
        <v>18880</v>
      </c>
      <c r="R52" s="274">
        <f>IF(O52&gt;0,VLOOKUP(S52,СГИ!$A$8:$G$27,5,TRUE),"")</f>
      </c>
      <c r="S52" s="312">
        <f t="shared" si="8"/>
      </c>
      <c r="T52" s="276">
        <f t="shared" si="14"/>
      </c>
      <c r="U52" s="277">
        <f>IF(IF(ISNA(INDEX(СГИ!$P$3:$AI$22,VLOOKUP($T52,СГИ!$N$3:$O$22,2),HLOOKUP(U$6,СГИ!$P$1:$AI$2,2))),"",INDEX(СГИ!$P$3:$AI$22,VLOOKUP($T52,СГИ!$N$3:$O$22,2),HLOOKUP(U$6,СГИ!$P$1:$AI$2,2)))=1,CONCATENATE("при измерении ",$T52," ",U$34," не допускается ! "),"")</f>
      </c>
      <c r="V52" s="277">
        <f>IF(IF(ISNA(INDEX(СГИ!$P$3:$AI$22,VLOOKUP($T52,СГИ!$N$3:$O$22,2),HLOOKUP(V$6,СГИ!$P$1:$AI$2,2))),"",INDEX(СГИ!$P$3:$AI$22,VLOOKUP($T52,СГИ!$N$3:$O$22,2),HLOOKUP(V$6,СГИ!$P$1:$AI$2,2)))=1,CONCATENATE("при измерении ",$T52," ",V$34," не допускается ! "),"")</f>
      </c>
      <c r="W52" s="277">
        <f>IF(IF(ISNA(INDEX(СГИ!$P$3:$AI$22,VLOOKUP($T52,СГИ!$N$3:$O$22,2),HLOOKUP(W$6,СГИ!$P$1:$AI$2,2))),"",INDEX(СГИ!$P$3:$AI$22,VLOOKUP($T52,СГИ!$N$3:$O$22,2),HLOOKUP(W$6,СГИ!$P$1:$AI$2,2)))=1,CONCATENATE("при измерении ",$T52," ",W$34," не допускается ! "),"")</f>
      </c>
      <c r="X52" s="277">
        <f>IF(IF(ISNA(INDEX(СГИ!$P$3:$AI$22,VLOOKUP($T52,СГИ!$N$3:$O$22,2),HLOOKUP(X$6,СГИ!$P$1:$AI$2,2))),"",INDEX(СГИ!$P$3:$AI$22,VLOOKUP($T52,СГИ!$N$3:$O$22,2),HLOOKUP(X$6,СГИ!$P$1:$AI$2,2)))=1,CONCATENATE("при измерении ",$T52," ",X$34," не допускается ! "),"")</f>
      </c>
      <c r="Y52" s="277">
        <f>IF(IF(ISNA(INDEX(СГИ!$P$3:$AI$22,VLOOKUP($T52,СГИ!$N$3:$O$22,2),HLOOKUP(Y$6,СГИ!$P$1:$AI$2,2))),"",INDEX(СГИ!$P$3:$AI$22,VLOOKUP($T52,СГИ!$N$3:$O$22,2),HLOOKUP(Y$6,СГИ!$P$1:$AI$2,2)))=1,CONCATENATE("при измерении ",$T52," ",Y$34," не допускается ! "),"")</f>
      </c>
      <c r="Z52" s="277">
        <f>IF(IF(ISNA(INDEX(СГИ!$P$3:$AI$22,VLOOKUP($T52,СГИ!$N$3:$O$22,2),HLOOKUP(Z$6,СГИ!$P$1:$AI$2,2))),"",INDEX(СГИ!$P$3:$AI$22,VLOOKUP($T52,СГИ!$N$3:$O$22,2),HLOOKUP(Z$6,СГИ!$P$1:$AI$2,2)))=1,CONCATENATE("при измерении ",$T52," ",Z$34," не допускается ! "),"")</f>
      </c>
      <c r="AA52" s="277">
        <f>IF(IF(ISNA(INDEX(СГИ!$P$3:$AI$22,VLOOKUP($T52,СГИ!$N$3:$O$22,2),HLOOKUP(AA$6,СГИ!$P$1:$AI$2,2))),"",INDEX(СГИ!$P$3:$AI$22,VLOOKUP($T52,СГИ!$N$3:$O$22,2),HLOOKUP(AA$6,СГИ!$P$1:$AI$2,2)))=1,CONCATENATE("при измерении ",$T52," ",AA$34," не допускается ! "),"")</f>
      </c>
      <c r="AB52" s="277">
        <f>IF(IF(ISNA(INDEX(СГИ!$P$3:$AI$22,VLOOKUP($T52,СГИ!$N$3:$O$22,2),HLOOKUP(AB$6,СГИ!$P$1:$AI$2,2))),"",INDEX(СГИ!$P$3:$AI$22,VLOOKUP($T52,СГИ!$N$3:$O$22,2),HLOOKUP(AB$6,СГИ!$P$1:$AI$2,2)))=1,CONCATENATE("при измерении ",$T52," ",AB$34," не допускается ! "),"")</f>
      </c>
      <c r="AC52" s="277">
        <f>IF(IF(ISNA(INDEX(СГИ!$P$3:$AI$22,VLOOKUP($T52,СГИ!$N$3:$O$22,2),HLOOKUP(AC$6,СГИ!$P$1:$AI$2,2))),"",INDEX(СГИ!$P$3:$AI$22,VLOOKUP($T52,СГИ!$N$3:$O$22,2),HLOOKUP(AC$6,СГИ!$P$1:$AI$2,2)))=1,CONCATENATE("при измерении ",$T52," ",AC$34," не допускается ! "),"")</f>
      </c>
      <c r="AD52" s="277">
        <f>IF(IF(ISNA(INDEX(СГИ!$P$3:$AI$22,VLOOKUP($T52,СГИ!$N$3:$O$22,2),HLOOKUP(AD$6,СГИ!$P$1:$AI$2,2))),"",INDEX(СГИ!$P$3:$AI$22,VLOOKUP($T52,СГИ!$N$3:$O$22,2),HLOOKUP(AD$6,СГИ!$P$1:$AI$2,2)))=1,CONCATENATE("при измерении ",$T52," ",AD$34," не допускается ! "),"")</f>
      </c>
      <c r="AE52" s="277">
        <f>IF(IF(ISNA(INDEX(СГИ!$P$3:$AI$22,VLOOKUP($T52,СГИ!$N$3:$O$22,2),HLOOKUP(AE$6,СГИ!$P$1:$AI$2,2))),"",INDEX(СГИ!$P$3:$AI$22,VLOOKUP($T52,СГИ!$N$3:$O$22,2),HLOOKUP(AE$6,СГИ!$P$1:$AI$2,2)))=1,CONCATENATE("при измерении ",$T52," ",AE$34," не допускается ! "),"")</f>
      </c>
      <c r="AF52" s="277">
        <f>IF(IF(ISNA(INDEX(СГИ!$P$3:$AI$22,VLOOKUP($T52,СГИ!$N$3:$O$22,2),HLOOKUP(AF$6,СГИ!$P$1:$AI$2,2))),"",INDEX(СГИ!$P$3:$AI$22,VLOOKUP($T52,СГИ!$N$3:$O$22,2),HLOOKUP(AF$6,СГИ!$P$1:$AI$2,2)))=1,CONCATENATE("при измерении ",$T52," ",AF$34," не допускается ! "),"")</f>
      </c>
      <c r="AG52" s="277">
        <f>IF(IF(ISNA(INDEX(СГИ!$P$3:$AI$22,VLOOKUP($T52,СГИ!$N$3:$O$22,2),HLOOKUP(AG$6,СГИ!$P$1:$AI$2,2))),"",INDEX(СГИ!$P$3:$AI$22,VLOOKUP($T52,СГИ!$N$3:$O$22,2),HLOOKUP(AG$6,СГИ!$P$1:$AI$2,2)))=1,CONCATENATE("при измерении ",$T52," ",AG$34," не допускается ! "),"")</f>
      </c>
      <c r="AH52" s="277">
        <f>IF(IF(ISNA(INDEX(СГИ!$P$3:$AI$22,VLOOKUP($T52,СГИ!$N$3:$O$22,2),HLOOKUP(AH$6,СГИ!$P$1:$AI$2,2))),"",INDEX(СГИ!$P$3:$AI$22,VLOOKUP($T52,СГИ!$N$3:$O$22,2),HLOOKUP(AH$6,СГИ!$P$1:$AI$2,2)))=1,CONCATENATE("при измерении ",$T52," ",AH$34," не допускается ! "),"")</f>
      </c>
      <c r="AI52" s="277">
        <f>IF(IF(ISNA(INDEX(СГИ!$P$3:$AI$22,VLOOKUP($T52,СГИ!$N$3:$O$22,2),HLOOKUP(AI$6,СГИ!$P$1:$AI$2,2))),"",INDEX(СГИ!$P$3:$AI$22,VLOOKUP($T52,СГИ!$N$3:$O$22,2),HLOOKUP(AI$6,СГИ!$P$1:$AI$2,2)))=1,CONCATENATE("при измерении ",$T52," ",AI$34," не допускается ! "),"")</f>
      </c>
      <c r="AJ52" s="277">
        <f>IF(IF(ISNA(INDEX(СГИ!$P$3:$AI$22,VLOOKUP($T52,СГИ!$N$3:$O$22,2),HLOOKUP(AJ$6,СГИ!$P$1:$AI$2,2))),"",INDEX(СГИ!$P$3:$AI$22,VLOOKUP($T52,СГИ!$N$3:$O$22,2),HLOOKUP(AJ$6,СГИ!$P$1:$AI$2,2)))=1,CONCATENATE("при измерении ",$T52," ",AJ$34," не допускается ! "),"")</f>
      </c>
      <c r="AK52" s="277">
        <f>IF(IF(ISNA(INDEX(СГИ!$P$3:$AI$22,VLOOKUP($T52,СГИ!$N$3:$O$22,2),HLOOKUP(AK$6,СГИ!$P$1:$AI$2,2))),"",INDEX(СГИ!$P$3:$AI$22,VLOOKUP($T52,СГИ!$N$3:$O$22,2),HLOOKUP(AK$6,СГИ!$P$1:$AI$2,2)))=1,CONCATENATE("при измерении ",$T52," ",AK$34," не допускается ! "),"")</f>
      </c>
      <c r="AL52" s="277">
        <f>IF(IF(ISNA(INDEX(СГИ!$P$3:$AI$22,VLOOKUP($T52,СГИ!$N$3:$O$22,2),HLOOKUP(AL$6,СГИ!$P$1:$AI$2,2))),"",INDEX(СГИ!$P$3:$AI$22,VLOOKUP($T52,СГИ!$N$3:$O$22,2),HLOOKUP(AL$6,СГИ!$P$1:$AI$2,2)))=1,CONCATENATE("при измерении ",$T52," ",AL$34," не допускается ! "),"")</f>
      </c>
      <c r="AM52">
        <f t="shared" si="10"/>
      </c>
    </row>
    <row r="53" spans="4:21" ht="47.25" customHeight="1" thickBot="1">
      <c r="D53" s="782" t="s">
        <v>410</v>
      </c>
      <c r="E53" s="780"/>
      <c r="L53" s="314">
        <f>DCOUNTA($E34:$E52,$E34,$M53:$M54)</f>
        <v>0</v>
      </c>
      <c r="M53" s="315" t="s">
        <v>322</v>
      </c>
      <c r="N53" s="316" t="s">
        <v>412</v>
      </c>
      <c r="O53" s="342">
        <f>SUM(O36:O40)</f>
        <v>0</v>
      </c>
      <c r="P53" s="343"/>
      <c r="Q53" s="319" t="s">
        <v>413</v>
      </c>
      <c r="R53" s="314">
        <f>IF(NOT(K37="взрывозащита НЕ предусмотрена"),СГИ!$D$29*SUM(P35:P52)+СГИ!$D$30*ROUNDUP(SUM(P35:P52)/4,0),0)</f>
        <v>0</v>
      </c>
      <c r="T53" s="786">
        <f>IF(O35&gt;0,"92","")</f>
      </c>
      <c r="U53" s="783">
        <v>41976</v>
      </c>
    </row>
    <row r="54" spans="4:21" ht="49.5" customHeight="1" thickBot="1">
      <c r="D54" s="781" t="s">
        <v>414</v>
      </c>
      <c r="E54" s="345"/>
      <c r="L54" s="313" t="s">
        <v>411</v>
      </c>
      <c r="M54" s="321"/>
      <c r="N54" s="316" t="s">
        <v>415</v>
      </c>
      <c r="O54" s="346">
        <f>SUM(O42:O52)</f>
        <v>0</v>
      </c>
      <c r="P54" s="322" t="str">
        <f>IF(O55&gt;0,CONCATENATE("ОКА-",T53,T54,T55,IF(O55=O35,"",N35),IF(O55=O36,", град. по H2",N36),IF(O55=O37,", град. по CO",N37),IF(O55=O38,", град. по CH4",N38),IF(O55=O39,", град. по C3H8",N39),IF(O55=O40,", град. по C6H14",N40),IF(O55=O41,", град. по CH4 или C3H8, или C6H14",N41),N42,N43,N44,N45,N46,N47,N48,N51,N52),"данные не введены")</f>
        <v>данные не введены</v>
      </c>
      <c r="Q54" s="319" t="str">
        <f>CONCATENATE("наценка за гирлянду                        (",U54," р. за канал):")</f>
        <v>наценка за гирлянду                        (330 р. за канал):</v>
      </c>
      <c r="R54" s="314">
        <f>(U54*S54)*SUM(O35:O52)</f>
        <v>0</v>
      </c>
      <c r="S54" s="259">
        <f>IF(E54=1,1,0)</f>
        <v>0</v>
      </c>
      <c r="T54" s="787">
        <f>IF(AND(O53+O41&gt;0,O53+O41&lt;17),"М","")</f>
      </c>
      <c r="U54" s="784">
        <v>330</v>
      </c>
    </row>
    <row r="55" spans="4:21" ht="70.5" customHeight="1" thickBot="1">
      <c r="D55" s="323" t="s">
        <v>416</v>
      </c>
      <c r="E55" s="324"/>
      <c r="K55">
        <f>3000*SIGN(E48+E51)*(O55-(E48+E51))</f>
        <v>0</v>
      </c>
      <c r="N55" s="316" t="s">
        <v>417</v>
      </c>
      <c r="O55" s="348">
        <f>SUM(O35:O52)</f>
        <v>0</v>
      </c>
      <c r="P55" s="325" t="str">
        <f>IF(O55&gt;16,"(уменьшите число каналов)",IF(O55=0,"(введите необходимые данные)",""))</f>
        <v>(введите необходимые данные)</v>
      </c>
      <c r="Q55" s="319" t="str">
        <f>CONCATENATE("наценка за коррозионно-устойчивое исполнение (",U55," р. за канал)")</f>
        <v>наценка за коррозионно-устойчивое исполнение (1100 р. за канал)</v>
      </c>
      <c r="R55" s="314">
        <f>U55*S55*SUM(O35:O52)</f>
        <v>0</v>
      </c>
      <c r="S55" s="259">
        <f>IF(OR(E55=1,O48&gt;0,O51&gt;0),1,0)</f>
        <v>0</v>
      </c>
      <c r="T55" s="788">
        <f>IF(O54&gt;0,"Т","")</f>
      </c>
      <c r="U55" s="785">
        <v>1100</v>
      </c>
    </row>
  </sheetData>
  <sheetProtection selectLockedCells="1" selectUnlockedCells="1"/>
  <dataValidations count="1">
    <dataValidation type="list" operator="equal" allowBlank="1" sqref="K23 K51">
      <formula1>Кабель!$A$2:$A$8</formula1>
    </dataValidation>
  </dataValidations>
  <hyperlinks>
    <hyperlink ref="H5" location="'расчет стац'!E27" display="особое исполн."/>
    <hyperlink ref="I5" location="'расчет стац'!E26" display="изменить конфиг."/>
    <hyperlink ref="H33" location="'расчет стац'!E55" display="особое исполн."/>
    <hyperlink ref="I33" location="'расчет стац'!E54" display="изменить конфиг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5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47" sqref="E47"/>
    </sheetView>
  </sheetViews>
  <sheetFormatPr defaultColWidth="9.00390625" defaultRowHeight="12.75"/>
  <cols>
    <col min="1" max="1" width="3.375" style="350" customWidth="1"/>
    <col min="2" max="2" width="7.625" style="218" customWidth="1"/>
    <col min="3" max="3" width="6.25390625" style="1" customWidth="1"/>
    <col min="4" max="4" width="16.125" style="1" customWidth="1"/>
    <col min="5" max="5" width="8.75390625" style="1" customWidth="1"/>
    <col min="6" max="6" width="10.75390625" style="1" customWidth="1"/>
    <col min="7" max="7" width="16.625" style="1" customWidth="1"/>
    <col min="8" max="8" width="21.25390625" style="1" customWidth="1"/>
    <col min="9" max="9" width="41.25390625" style="1" customWidth="1"/>
    <col min="10" max="10" width="29.375" style="1" customWidth="1"/>
    <col min="11" max="11" width="15.375" style="1" customWidth="1"/>
    <col min="12" max="12" width="18.25390625" style="1" customWidth="1"/>
    <col min="13" max="13" width="9.375" style="1" customWidth="1"/>
    <col min="14" max="14" width="9.125" style="351" customWidth="1"/>
    <col min="15" max="15" width="7.75390625" style="218" customWidth="1"/>
    <col min="16" max="16" width="14.125" style="218" customWidth="1"/>
    <col min="17" max="17" width="9.125" style="218" customWidth="1"/>
    <col min="18" max="18" width="16.00390625" style="1" customWidth="1"/>
    <col min="19" max="16384" width="8.875" style="1" customWidth="1"/>
  </cols>
  <sheetData>
    <row r="1" spans="1:18" ht="15" customHeight="1">
      <c r="A1" s="228"/>
      <c r="B1" s="228"/>
      <c r="C1" s="229" t="s">
        <v>428</v>
      </c>
      <c r="D1" s="352"/>
      <c r="E1" s="352"/>
      <c r="F1" s="352"/>
      <c r="J1" s="228"/>
      <c r="N1" s="1"/>
      <c r="O1" s="1"/>
      <c r="P1" s="1"/>
      <c r="Q1" s="1"/>
      <c r="R1" s="353"/>
    </row>
    <row r="2" spans="1:18" ht="12" customHeight="1">
      <c r="A2" s="228"/>
      <c r="B2" s="228"/>
      <c r="C2" s="354" t="s">
        <v>429</v>
      </c>
      <c r="E2" s="352"/>
      <c r="F2" s="352"/>
      <c r="G2" s="352"/>
      <c r="H2" s="352"/>
      <c r="I2" s="352"/>
      <c r="J2" s="352"/>
      <c r="N2" s="1"/>
      <c r="O2" s="1"/>
      <c r="P2" s="1"/>
      <c r="Q2" s="1"/>
      <c r="R2" s="355"/>
    </row>
    <row r="3" spans="1:17" ht="12" customHeight="1">
      <c r="A3" s="228"/>
      <c r="B3" s="228"/>
      <c r="C3" s="352" t="s">
        <v>430</v>
      </c>
      <c r="D3" s="352"/>
      <c r="E3" s="352"/>
      <c r="F3" s="352"/>
      <c r="G3" s="352"/>
      <c r="H3" s="352"/>
      <c r="I3" s="352"/>
      <c r="J3" s="352"/>
      <c r="N3" s="1"/>
      <c r="O3" s="1"/>
      <c r="P3" s="1"/>
      <c r="Q3" s="1"/>
    </row>
    <row r="4" spans="1:17" ht="15.75" customHeight="1">
      <c r="A4" s="228" t="s">
        <v>347</v>
      </c>
      <c r="B4" s="228"/>
      <c r="C4" s="352"/>
      <c r="D4" s="352"/>
      <c r="E4" s="352"/>
      <c r="F4" s="352"/>
      <c r="G4" s="352"/>
      <c r="H4" s="356" t="s">
        <v>431</v>
      </c>
      <c r="I4" s="352"/>
      <c r="J4" s="352"/>
      <c r="N4" s="1"/>
      <c r="O4" s="1"/>
      <c r="P4" s="1"/>
      <c r="Q4" s="1"/>
    </row>
    <row r="5" spans="1:17" ht="12.75">
      <c r="A5" s="228"/>
      <c r="B5" s="228"/>
      <c r="C5" s="357"/>
      <c r="D5" s="358" t="s">
        <v>432</v>
      </c>
      <c r="E5" s="359" t="s">
        <v>419</v>
      </c>
      <c r="F5"/>
      <c r="G5"/>
      <c r="H5" s="887"/>
      <c r="I5" s="888"/>
      <c r="J5" s="883"/>
      <c r="K5" s="218"/>
      <c r="L5" s="218"/>
      <c r="N5" s="247" t="s">
        <v>362</v>
      </c>
      <c r="Q5" s="1"/>
    </row>
    <row r="6" spans="1:35" ht="28.5" customHeight="1">
      <c r="A6" s="351"/>
      <c r="B6" s="357"/>
      <c r="C6" s="360" t="s">
        <v>433</v>
      </c>
      <c r="D6" s="361" t="s">
        <v>365</v>
      </c>
      <c r="E6" s="362" t="s">
        <v>434</v>
      </c>
      <c r="F6"/>
      <c r="G6"/>
      <c r="H6" s="877" t="s">
        <v>367</v>
      </c>
      <c r="I6" s="878" t="s">
        <v>421</v>
      </c>
      <c r="J6" s="363" t="s">
        <v>435</v>
      </c>
      <c r="K6" s="363" t="s">
        <v>322</v>
      </c>
      <c r="L6" s="364"/>
      <c r="N6" s="247" t="s">
        <v>422</v>
      </c>
      <c r="P6" s="365"/>
      <c r="Q6" s="260">
        <f>IF(P7="","",P7)</f>
      </c>
      <c r="R6" s="260">
        <f>IF(P8="","",P8)</f>
      </c>
      <c r="S6" s="260">
        <f>IF(P9="","",P9)</f>
      </c>
      <c r="T6" s="260">
        <f>IF(P10="","",P10)</f>
      </c>
      <c r="U6" s="260">
        <f>IF(P11="","",P11)</f>
      </c>
      <c r="V6" s="261">
        <f>IF(P12="","",P12)</f>
      </c>
      <c r="W6" s="261">
        <f>IF(P13="","",P13)</f>
      </c>
      <c r="X6" s="261">
        <f>IF(P14="","",P14)</f>
      </c>
      <c r="Y6" s="261">
        <f>IF(P15="","",P15)</f>
      </c>
      <c r="Z6" s="261">
        <f>IF(P16="","",P16)</f>
      </c>
      <c r="AA6" s="261">
        <f>IF(P17="","",P17)</f>
      </c>
      <c r="AB6" s="261">
        <f>IF(P18="","",P18)</f>
      </c>
      <c r="AC6" s="261">
        <f>IF(P19="","",P19)</f>
      </c>
      <c r="AD6" s="261">
        <f>IF(P20="","",P20)</f>
      </c>
      <c r="AE6" s="261">
        <f>IF(P21="","",P21)</f>
      </c>
      <c r="AF6" s="261">
        <f>IF(P22="","",P22)</f>
      </c>
      <c r="AG6" s="261">
        <f>IF(P23="","",P23)</f>
      </c>
      <c r="AH6" s="261">
        <f>IF(P24="","",P24)</f>
      </c>
      <c r="AI6" s="262">
        <f>CONCATENATE(AI7,AI8,AI9,AI10,AI11,AI12,AI13,AI14,AI15,AI16,AI17,AI18,AI19,AI20,AI21,AI22,AI23,AI24)</f>
      </c>
    </row>
    <row r="7" spans="1:35" ht="21" customHeight="1">
      <c r="A7"/>
      <c r="B7" s="366" t="s">
        <v>373</v>
      </c>
      <c r="C7" s="294"/>
      <c r="D7" s="367" t="s">
        <v>374</v>
      </c>
      <c r="E7" s="368"/>
      <c r="F7" s="369" t="str">
        <f>IF(SUM(E$7:E$20)+SUM(E$22:E$24)&gt;5,"&lt;- каналов не должно быть более 5",IF(E7&gt;1,"&lt;- уменьшите количество каналов",IF(SUM(E$7:E$20)+SUM(E$22:E$24)=5,"&lt;- дальнейший ввод невозможен",IF(E7=1,"","&lt;- введите данные, где необходимо"))))</f>
        <v>&lt;- введите данные, где необходимо</v>
      </c>
      <c r="G7"/>
      <c r="H7" s="849" t="s">
        <v>376</v>
      </c>
      <c r="I7" s="850" t="str">
        <f>IF(OR(L27="",L27="(введите необходимые данные)"),IF(OR(AND(E26=1,E7+SUM(E14:E23)&gt;3),AND(K27&gt;5,E26="")),"превышение числа каналов",L26),"недопустимая комбинация сенсоров")</f>
        <v>данные не введены</v>
      </c>
      <c r="J7" s="884">
        <f>IF($E7=1,CONCATENATE("-",$D7),"")</f>
      </c>
      <c r="K7" s="370">
        <f>IF(J7="",0,1)</f>
        <v>0</v>
      </c>
      <c r="N7" s="371">
        <f>IF(E7&gt;0,ПГ!D7,"")</f>
      </c>
      <c r="P7" s="276">
        <f aca="true" t="shared" si="0" ref="P7:P24">MID(J7,2,9)</f>
      </c>
      <c r="Q7" s="277">
        <f>IF(IF(ISNA(INDEX(СГИ!$P$3:$AI$22,VLOOKUP($P7,СГИ!$N$3:$O$22,2),HLOOKUP(Q$6,СГИ!$P$1:$AI$2,2))),"",INDEX(СГИ!$P$3:$AI$22,VLOOKUP($P7,СГИ!$N$3:$O$22,2),HLOOKUP(Q$6,СГИ!$P$1:$AI$2,2)))=1,CONCATENATE("при измерении ",$P7," ",Q$6," не допускается ! "),"")</f>
      </c>
      <c r="R7" s="277">
        <f>IF(IF(ISNA(INDEX(СГИ!$P$3:$AI$22,VLOOKUP($P7,СГИ!$N$3:$O$22,2),HLOOKUP(R$6,СГИ!$P$1:$AI$2,2))),"",INDEX(СГИ!$P$3:$AI$22,VLOOKUP($P7,СГИ!$N$3:$O$22,2),HLOOKUP(R$6,СГИ!$P$1:$AI$2,2)))=1,CONCATENATE("при измерении ",$P7," ",R$6," не допускается ! "),"")</f>
      </c>
      <c r="S7" s="277">
        <f>IF(IF(ISNA(INDEX(СГИ!$P$3:$AI$22,VLOOKUP($P7,СГИ!$N$3:$O$22,2),HLOOKUP(S$6,СГИ!$P$1:$AI$2,2))),"",INDEX(СГИ!$P$3:$AI$22,VLOOKUP($P7,СГИ!$N$3:$O$22,2),HLOOKUP(S$6,СГИ!$P$1:$AI$2,2)))=1,CONCATENATE("при измерении ",$P7," ",S$6," не допускается ! "),"")</f>
      </c>
      <c r="T7" s="277">
        <f>IF(IF(ISNA(INDEX(СГИ!$P$3:$AI$22,VLOOKUP($P7,СГИ!$N$3:$O$22,2),HLOOKUP(T$6,СГИ!$P$1:$AI$2,2))),"",INDEX(СГИ!$P$3:$AI$22,VLOOKUP($P7,СГИ!$N$3:$O$22,2),HLOOKUP(T$6,СГИ!$P$1:$AI$2,2)))=1,CONCATENATE("при измерении ",$P7," ",T$6," не допускается ! "),"")</f>
      </c>
      <c r="U7" s="277">
        <f>IF(IF(ISNA(INDEX(СГИ!$P$3:$AI$22,VLOOKUP($P7,СГИ!$N$3:$O$22,2),HLOOKUP(U$6,СГИ!$P$1:$AI$2,2))),"",INDEX(СГИ!$P$3:$AI$22,VLOOKUP($P7,СГИ!$N$3:$O$22,2),HLOOKUP(U$6,СГИ!$P$1:$AI$2,2)))=1,CONCATENATE("при измерении ",$P7," ",U$6," не допускается ! "),"")</f>
      </c>
      <c r="V7" s="277">
        <f>IF(IF(ISNA(INDEX(СГИ!$P$3:$AI$22,VLOOKUP($P7,СГИ!$N$3:$O$22,2),HLOOKUP(V$6,СГИ!$P$1:$AI$2,2))),"",INDEX(СГИ!$P$3:$AI$22,VLOOKUP($P7,СГИ!$N$3:$O$22,2),HLOOKUP(V$6,СГИ!$P$1:$AI$2,2)))=1,CONCATENATE("при измерении ",$P7," ",V$6," не допускается ! "),"")</f>
      </c>
      <c r="W7" s="277">
        <f>IF(IF(ISNA(INDEX(СГИ!$P$3:$AI$22,VLOOKUP($P7,СГИ!$N$3:$O$22,2),HLOOKUP(W$6,СГИ!$P$1:$AI$2,2))),"",INDEX(СГИ!$P$3:$AI$22,VLOOKUP($P7,СГИ!$N$3:$O$22,2),HLOOKUP(W$6,СГИ!$P$1:$AI$2,2)))=1,CONCATENATE("при измерении ",$P7," ",W$6," не допускается ! "),"")</f>
      </c>
      <c r="X7" s="277">
        <f>IF(IF(ISNA(INDEX(СГИ!$P$3:$AI$22,VLOOKUP($P7,СГИ!$N$3:$O$22,2),HLOOKUP(X$6,СГИ!$P$1:$AI$2,2))),"",INDEX(СГИ!$P$3:$AI$22,VLOOKUP($P7,СГИ!$N$3:$O$22,2),HLOOKUP(X$6,СГИ!$P$1:$AI$2,2)))=1,CONCATENATE("при измерении ",$P7," ",X$6," не допускается ! "),"")</f>
      </c>
      <c r="Y7" s="277">
        <f>IF(IF(ISNA(INDEX(СГИ!$P$3:$AI$22,VLOOKUP($P7,СГИ!$N$3:$O$22,2),HLOOKUP(Y$6,СГИ!$P$1:$AI$2,2))),"",INDEX(СГИ!$P$3:$AI$22,VLOOKUP($P7,СГИ!$N$3:$O$22,2),HLOOKUP(Y$6,СГИ!$P$1:$AI$2,2)))=1,CONCATENATE("при измерении ",$P7," ",Y$6," не допускается ! "),"")</f>
      </c>
      <c r="Z7" s="277">
        <f>IF(IF(ISNA(INDEX(СГИ!$P$3:$AI$22,VLOOKUP($P7,СГИ!$N$3:$O$22,2),HLOOKUP(Z$6,СГИ!$P$1:$AI$2,2))),"",INDEX(СГИ!$P$3:$AI$22,VLOOKUP($P7,СГИ!$N$3:$O$22,2),HLOOKUP(Z$6,СГИ!$P$1:$AI$2,2)))=1,CONCATENATE("при измерении ",$P7," ",Z$6," не допускается ! "),"")</f>
      </c>
      <c r="AA7" s="277">
        <f>IF(IF(ISNA(INDEX(СГИ!$P$3:$AI$22,VLOOKUP($P7,СГИ!$N$3:$O$22,2),HLOOKUP(AA$6,СГИ!$P$1:$AI$2,2))),"",INDEX(СГИ!$P$3:$AI$22,VLOOKUP($P7,СГИ!$N$3:$O$22,2),HLOOKUP(AA$6,СГИ!$P$1:$AI$2,2)))=1,CONCATENATE("при измерении ",$P7," ",AA$6," не допускается ! "),"")</f>
      </c>
      <c r="AB7" s="277">
        <f>IF(IF(ISNA(INDEX(СГИ!$P$3:$AI$22,VLOOKUP($P7,СГИ!$N$3:$O$22,2),HLOOKUP(AB$6,СГИ!$P$1:$AI$2,2))),"",INDEX(СГИ!$P$3:$AI$22,VLOOKUP($P7,СГИ!$N$3:$O$22,2),HLOOKUP(AB$6,СГИ!$P$1:$AI$2,2)))=1,CONCATENATE("при измерении ",$P7," ",AB$6," не допускается ! "),"")</f>
      </c>
      <c r="AC7" s="277">
        <f>IF(IF(ISNA(INDEX(СГИ!$P$3:$AI$22,VLOOKUP($P7,СГИ!$N$3:$O$22,2),HLOOKUP(AC$6,СГИ!$P$1:$AI$2,2))),"",INDEX(СГИ!$P$3:$AI$22,VLOOKUP($P7,СГИ!$N$3:$O$22,2),HLOOKUP(AC$6,СГИ!$P$1:$AI$2,2)))=1,CONCATENATE("при измерении ",$P7," ",AC$6," не допускается ! "),"")</f>
      </c>
      <c r="AD7" s="277">
        <f>IF(IF(ISNA(INDEX(СГИ!$P$3:$AI$22,VLOOKUP($P7,СГИ!$N$3:$O$22,2),HLOOKUP(AD$6,СГИ!$P$1:$AI$2,2))),"",INDEX(СГИ!$P$3:$AI$22,VLOOKUP($P7,СГИ!$N$3:$O$22,2),HLOOKUP(AD$6,СГИ!$P$1:$AI$2,2)))=1,CONCATENATE("при измерении ",$P7," ",AD$6," не допускается ! "),"")</f>
      </c>
      <c r="AE7" s="277">
        <f>IF(IF(ISNA(INDEX(СГИ!$P$3:$AI$22,VLOOKUP($P7,СГИ!$N$3:$O$22,2),HLOOKUP(AE$6,СГИ!$P$1:$AI$2,2))),"",INDEX(СГИ!$P$3:$AI$22,VLOOKUP($P7,СГИ!$N$3:$O$22,2),HLOOKUP(AE$6,СГИ!$P$1:$AI$2,2)))=1,CONCATENATE("при измерении ",$P7," ",AE$6," не допускается ! "),"")</f>
      </c>
      <c r="AF7" s="277">
        <f>IF(IF(ISNA(INDEX(СГИ!$P$3:$AI$22,VLOOKUP($P7,СГИ!$N$3:$O$22,2),HLOOKUP(AF$6,СГИ!$P$1:$AI$2,2))),"",INDEX(СГИ!$P$3:$AI$22,VLOOKUP($P7,СГИ!$N$3:$O$22,2),HLOOKUP(AF$6,СГИ!$P$1:$AI$2,2)))=1,CONCATENATE("при измерении ",$P7," ",AF$6," не допускается ! "),"")</f>
      </c>
      <c r="AG7" s="277">
        <f>IF(IF(ISNA(INDEX(СГИ!$P$3:$AI$22,VLOOKUP($P7,СГИ!$N$3:$O$22,2),HLOOKUP(AG$6,СГИ!$P$1:$AI$2,2))),"",INDEX(СГИ!$P$3:$AI$22,VLOOKUP($P7,СГИ!$N$3:$O$22,2),HLOOKUP(AG$6,СГИ!$P$1:$AI$2,2)))=1,CONCATENATE("при измерении ",$P7," ",AG$6," не допускается ! "),"")</f>
      </c>
      <c r="AH7" s="372">
        <f>IF(IF(ISNA(INDEX(СГИ!$P$3:$AI$22,VLOOKUP($P7,СГИ!$N$3:$O$22,2),HLOOKUP(AH$6,СГИ!$P$1:$AI$2,2))),"",INDEX(СГИ!$P$3:$AI$22,VLOOKUP($P7,СГИ!$N$3:$O$22,2),HLOOKUP(AH$6,СГИ!$P$1:$AI$2,2)))=1,CONCATENATE("при измерении ",$P7," ",AH$6," не допускается ! "),"")</f>
      </c>
      <c r="AI7">
        <f>CONCATENATE(Q7,R7,S7,T7,U7,V7,W7,X7,Y7,Z7,AA7,AB7,AC7,AD7,AE7,AF7,AG7,AH7)</f>
      </c>
    </row>
    <row r="8" spans="1:35" ht="24" customHeight="1">
      <c r="A8"/>
      <c r="B8" s="373" t="s">
        <v>377</v>
      </c>
      <c r="C8" s="373" t="s">
        <v>136</v>
      </c>
      <c r="D8" s="332" t="s">
        <v>378</v>
      </c>
      <c r="E8" s="368"/>
      <c r="F8" s="369" t="str">
        <f aca="true" t="shared" si="1" ref="F8:F24">IF(SUM(E$7:E$20)+SUM(E$22:E$24)&gt;5,"&lt;- каналов не должно быть более 5",IF(E8&gt;1,"&lt;- уменьшите количество каналов",IF(SUM(E$7:E$20)+SUM(E$22:E$24)=5,"&lt;- дальнейший ввод невозможен",IF(E8=1,"","&lt;- введите данные, где необходимо"))))</f>
        <v>&lt;- введите данные, где необходимо</v>
      </c>
      <c r="G8"/>
      <c r="H8" s="851"/>
      <c r="I8" s="852" t="str">
        <f>IF(NOT(L27=""),L27,AI6)</f>
        <v>(введите необходимые данные)</v>
      </c>
      <c r="J8" s="885">
        <f>IF(OR($E8=1,B9*K9=1,B10*K10=1,B11*K11=1,B12*K12=1),CONCATENATE("-",$D8),"")</f>
      </c>
      <c r="K8" s="337">
        <f aca="true" t="shared" si="2" ref="K8:K24">IF(J8="",0,1)</f>
        <v>0</v>
      </c>
      <c r="N8" s="371">
        <f>IF(E8&gt;0,ПГ!D8,"")</f>
      </c>
      <c r="P8" s="276">
        <f t="shared" si="0"/>
      </c>
      <c r="Q8" s="277">
        <f>IF(IF(ISNA(INDEX(СГИ!$P$3:$AI$22,VLOOKUP($P8,СГИ!$N$3:$O$22,2),HLOOKUP(Q$6,СГИ!$P$1:$AI$2,2))),"",INDEX(СГИ!$P$3:$AI$22,VLOOKUP($P8,СГИ!$N$3:$O$22,2),HLOOKUP(Q$6,СГИ!$P$1:$AI$2,2)))=1,CONCATENATE("при измерении ",$P8," ",Q$6," не допускается ! "),"")</f>
      </c>
      <c r="R8" s="277">
        <f>IF(IF(ISNA(INDEX(СГИ!$P$3:$AI$22,VLOOKUP($P8,СГИ!$N$3:$O$22,2),HLOOKUP(R$6,СГИ!$P$1:$AI$2,2))),"",INDEX(СГИ!$P$3:$AI$22,VLOOKUP($P8,СГИ!$N$3:$O$22,2),HLOOKUP(R$6,СГИ!$P$1:$AI$2,2)))=1,CONCATENATE("при измерении ",$P8," ",R$6," не допускается ! "),"")</f>
      </c>
      <c r="S8" s="277">
        <f>IF(IF(ISNA(INDEX(СГИ!$P$3:$AI$22,VLOOKUP($P8,СГИ!$N$3:$O$22,2),HLOOKUP(S$6,СГИ!$P$1:$AI$2,2))),"",INDEX(СГИ!$P$3:$AI$22,VLOOKUP($P8,СГИ!$N$3:$O$22,2),HLOOKUP(S$6,СГИ!$P$1:$AI$2,2)))=1,CONCATENATE("при измерении ",$P8," ",S$6," не допускается ! "),"")</f>
      </c>
      <c r="T8" s="277">
        <f>IF(IF(ISNA(INDEX(СГИ!$P$3:$AI$22,VLOOKUP($P8,СГИ!$N$3:$O$22,2),HLOOKUP(T$6,СГИ!$P$1:$AI$2,2))),"",INDEX(СГИ!$P$3:$AI$22,VLOOKUP($P8,СГИ!$N$3:$O$22,2),HLOOKUP(T$6,СГИ!$P$1:$AI$2,2)))=1,CONCATENATE("при измерении ",$P8," ",T$6," не допускается ! "),"")</f>
      </c>
      <c r="U8" s="277">
        <f>IF(IF(ISNA(INDEX(СГИ!$P$3:$AI$22,VLOOKUP($P8,СГИ!$N$3:$O$22,2),HLOOKUP(U$6,СГИ!$P$1:$AI$2,2))),"",INDEX(СГИ!$P$3:$AI$22,VLOOKUP($P8,СГИ!$N$3:$O$22,2),HLOOKUP(U$6,СГИ!$P$1:$AI$2,2)))=1,CONCATENATE("при измерении ",$P8," ",U$6," не допускается ! "),"")</f>
      </c>
      <c r="V8" s="277">
        <f>IF(IF(ISNA(INDEX(СГИ!$P$3:$AI$22,VLOOKUP($P8,СГИ!$N$3:$O$22,2),HLOOKUP(V$6,СГИ!$P$1:$AI$2,2))),"",INDEX(СГИ!$P$3:$AI$22,VLOOKUP($P8,СГИ!$N$3:$O$22,2),HLOOKUP(V$6,СГИ!$P$1:$AI$2,2)))=1,CONCATENATE("при измерении ",$P8," ",V$6," не допускается ! "),"")</f>
      </c>
      <c r="W8" s="277">
        <f>IF(IF(ISNA(INDEX(СГИ!$P$3:$AI$22,VLOOKUP($P8,СГИ!$N$3:$O$22,2),HLOOKUP(W$6,СГИ!$P$1:$AI$2,2))),"",INDEX(СГИ!$P$3:$AI$22,VLOOKUP($P8,СГИ!$N$3:$O$22,2),HLOOKUP(W$6,СГИ!$P$1:$AI$2,2)))=1,CONCATENATE("при измерении ",$P8," ",W$6," не допускается ! "),"")</f>
      </c>
      <c r="X8" s="277">
        <f>IF(IF(ISNA(INDEX(СГИ!$P$3:$AI$22,VLOOKUP($P8,СГИ!$N$3:$O$22,2),HLOOKUP(X$6,СГИ!$P$1:$AI$2,2))),"",INDEX(СГИ!$P$3:$AI$22,VLOOKUP($P8,СГИ!$N$3:$O$22,2),HLOOKUP(X$6,СГИ!$P$1:$AI$2,2)))=1,CONCATENATE("при измерении ",$P8," ",X$6," не допускается ! "),"")</f>
      </c>
      <c r="Y8" s="277">
        <f>IF(IF(ISNA(INDEX(СГИ!$P$3:$AI$22,VLOOKUP($P8,СГИ!$N$3:$O$22,2),HLOOKUP(Y$6,СГИ!$P$1:$AI$2,2))),"",INDEX(СГИ!$P$3:$AI$22,VLOOKUP($P8,СГИ!$N$3:$O$22,2),HLOOKUP(Y$6,СГИ!$P$1:$AI$2,2)))=1,CONCATENATE("при измерении ",$P8," ",Y$6," не допускается ! "),"")</f>
      </c>
      <c r="Z8" s="277">
        <f>IF(IF(ISNA(INDEX(СГИ!$P$3:$AI$22,VLOOKUP($P8,СГИ!$N$3:$O$22,2),HLOOKUP(Z$6,СГИ!$P$1:$AI$2,2))),"",INDEX(СГИ!$P$3:$AI$22,VLOOKUP($P8,СГИ!$N$3:$O$22,2),HLOOKUP(Z$6,СГИ!$P$1:$AI$2,2)))=1,CONCATENATE("при измерении ",$P8," ",Z$6," не допускается ! "),"")</f>
      </c>
      <c r="AA8" s="277">
        <f>IF(IF(ISNA(INDEX(СГИ!$P$3:$AI$22,VLOOKUP($P8,СГИ!$N$3:$O$22,2),HLOOKUP(AA$6,СГИ!$P$1:$AI$2,2))),"",INDEX(СГИ!$P$3:$AI$22,VLOOKUP($P8,СГИ!$N$3:$O$22,2),HLOOKUP(AA$6,СГИ!$P$1:$AI$2,2)))=1,CONCATENATE("при измерении ",$P8," ",AA$6," не допускается ! "),"")</f>
      </c>
      <c r="AB8" s="277">
        <f>IF(IF(ISNA(INDEX(СГИ!$P$3:$AI$22,VLOOKUP($P8,СГИ!$N$3:$O$22,2),HLOOKUP(AB$6,СГИ!$P$1:$AI$2,2))),"",INDEX(СГИ!$P$3:$AI$22,VLOOKUP($P8,СГИ!$N$3:$O$22,2),HLOOKUP(AB$6,СГИ!$P$1:$AI$2,2)))=1,CONCATENATE("при измерении ",$P8," ",AB$6," не допускается ! "),"")</f>
      </c>
      <c r="AC8" s="277">
        <f>IF(IF(ISNA(INDEX(СГИ!$P$3:$AI$22,VLOOKUP($P8,СГИ!$N$3:$O$22,2),HLOOKUP(AC$6,СГИ!$P$1:$AI$2,2))),"",INDEX(СГИ!$P$3:$AI$22,VLOOKUP($P8,СГИ!$N$3:$O$22,2),HLOOKUP(AC$6,СГИ!$P$1:$AI$2,2)))=1,CONCATENATE("при измерении ",$P8," ",AC$6," не допускается ! "),"")</f>
      </c>
      <c r="AD8" s="277">
        <f>IF(IF(ISNA(INDEX(СГИ!$P$3:$AI$22,VLOOKUP($P8,СГИ!$N$3:$O$22,2),HLOOKUP(AD$6,СГИ!$P$1:$AI$2,2))),"",INDEX(СГИ!$P$3:$AI$22,VLOOKUP($P8,СГИ!$N$3:$O$22,2),HLOOKUP(AD$6,СГИ!$P$1:$AI$2,2)))=1,CONCATENATE("при измерении ",$P8," ",AD$6," не допускается ! "),"")</f>
      </c>
      <c r="AE8" s="277">
        <f>IF(IF(ISNA(INDEX(СГИ!$P$3:$AI$22,VLOOKUP($P8,СГИ!$N$3:$O$22,2),HLOOKUP(AE$6,СГИ!$P$1:$AI$2,2))),"",INDEX(СГИ!$P$3:$AI$22,VLOOKUP($P8,СГИ!$N$3:$O$22,2),HLOOKUP(AE$6,СГИ!$P$1:$AI$2,2)))=1,CONCATENATE("при измерении ",$P8," ",AE$6," не допускается ! "),"")</f>
      </c>
      <c r="AF8" s="277">
        <f>IF(IF(ISNA(INDEX(СГИ!$P$3:$AI$22,VLOOKUP($P8,СГИ!$N$3:$O$22,2),HLOOKUP(AF$6,СГИ!$P$1:$AI$2,2))),"",INDEX(СГИ!$P$3:$AI$22,VLOOKUP($P8,СГИ!$N$3:$O$22,2),HLOOKUP(AF$6,СГИ!$P$1:$AI$2,2)))=1,CONCATENATE("при измерении ",$P8," ",AF$6," не допускается ! "),"")</f>
      </c>
      <c r="AG8" s="277">
        <f>IF(IF(ISNA(INDEX(СГИ!$P$3:$AI$22,VLOOKUP($P8,СГИ!$N$3:$O$22,2),HLOOKUP(AG$6,СГИ!$P$1:$AI$2,2))),"",INDEX(СГИ!$P$3:$AI$22,VLOOKUP($P8,СГИ!$N$3:$O$22,2),HLOOKUP(AG$6,СГИ!$P$1:$AI$2,2)))=1,CONCATENATE("при измерении ",$P8," ",AG$6," не допускается ! "),"")</f>
      </c>
      <c r="AH8" s="372">
        <f>IF(IF(ISNA(INDEX(СГИ!$P$3:$AI$22,VLOOKUP($P8,СГИ!$N$3:$O$22,2),HLOOKUP(AH$6,СГИ!$P$1:$AI$2,2))),"",INDEX(СГИ!$P$3:$AI$22,VLOOKUP($P8,СГИ!$N$3:$O$22,2),HLOOKUP(AH$6,СГИ!$P$1:$AI$2,2)))=1,CONCATENATE("при измерении ",$P8," ",AH$6," не допускается ! "),"")</f>
      </c>
      <c r="AI8">
        <f aca="true" t="shared" si="3" ref="AI8:AI24">CONCATENATE(Q8,R8,S8,T8,U8,V8,W8,X8,Y8,Z8,AA8,AB8,AC8,AD8,AE8,AF8,AG8,AH8)</f>
      </c>
    </row>
    <row r="9" spans="1:35" ht="37.5" customHeight="1">
      <c r="A9" s="374" t="s">
        <v>379</v>
      </c>
      <c r="B9" s="375"/>
      <c r="C9" s="376"/>
      <c r="D9" s="332" t="s">
        <v>380</v>
      </c>
      <c r="E9" s="368"/>
      <c r="F9" s="369" t="str">
        <f t="shared" si="1"/>
        <v>&lt;- введите данные, где необходимо</v>
      </c>
      <c r="G9"/>
      <c r="H9" s="853" t="s">
        <v>383</v>
      </c>
      <c r="I9" s="854" t="str">
        <f>IF(AND(E26=1,E8="",K27&lt;IF(E9+E10+E11+E12=0,5,IF(E9+E10+E11+E12=1,4,1)),E8=""),"взрывозащита предусмотрена","взрывозащита НЕ предусмотрена")</f>
        <v>взрывозащита НЕ предусмотрена</v>
      </c>
      <c r="J9" s="885">
        <f>IF(OR($E9=1,C10*K10=1,C11*K11=1,C12*K12=1),CONCATENATE("-","CO"),"")</f>
      </c>
      <c r="K9" s="337">
        <f t="shared" si="2"/>
        <v>0</v>
      </c>
      <c r="N9" s="371">
        <f>IF(E9&gt;0,ПГ!D9,"")</f>
      </c>
      <c r="P9" s="276">
        <f t="shared" si="0"/>
      </c>
      <c r="Q9" s="277">
        <f>IF(IF(ISNA(INDEX(СГИ!$P$3:$AI$22,VLOOKUP($P9,СГИ!$N$3:$O$22,2),HLOOKUP(Q$6,СГИ!$P$1:$AI$2,2))),"",INDEX(СГИ!$P$3:$AI$22,VLOOKUP($P9,СГИ!$N$3:$O$22,2),HLOOKUP(Q$6,СГИ!$P$1:$AI$2,2)))=1,CONCATENATE("при измерении ",$P9," ",Q$6," не допускается ! "),"")</f>
      </c>
      <c r="R9" s="277">
        <f>IF(IF(ISNA(INDEX(СГИ!$P$3:$AI$22,VLOOKUP($P9,СГИ!$N$3:$O$22,2),HLOOKUP(R$6,СГИ!$P$1:$AI$2,2))),"",INDEX(СГИ!$P$3:$AI$22,VLOOKUP($P9,СГИ!$N$3:$O$22,2),HLOOKUP(R$6,СГИ!$P$1:$AI$2,2)))=1,CONCATENATE("при измерении ",$P9," ",R$6," не допускается ! "),"")</f>
      </c>
      <c r="S9" s="277">
        <f>IF(IF(ISNA(INDEX(СГИ!$P$3:$AI$22,VLOOKUP($P9,СГИ!$N$3:$O$22,2),HLOOKUP(S$6,СГИ!$P$1:$AI$2,2))),"",INDEX(СГИ!$P$3:$AI$22,VLOOKUP($P9,СГИ!$N$3:$O$22,2),HLOOKUP(S$6,СГИ!$P$1:$AI$2,2)))=1,CONCATENATE("при измерении ",$P9," ",S$6," не допускается ! "),"")</f>
      </c>
      <c r="T9" s="277">
        <f>IF(IF(ISNA(INDEX(СГИ!$P$3:$AI$22,VLOOKUP($P9,СГИ!$N$3:$O$22,2),HLOOKUP(T$6,СГИ!$P$1:$AI$2,2))),"",INDEX(СГИ!$P$3:$AI$22,VLOOKUP($P9,СГИ!$N$3:$O$22,2),HLOOKUP(T$6,СГИ!$P$1:$AI$2,2)))=1,CONCATENATE("при измерении ",$P9," ",T$6," не допускается ! "),"")</f>
      </c>
      <c r="U9" s="277">
        <f>IF(IF(ISNA(INDEX(СГИ!$P$3:$AI$22,VLOOKUP($P9,СГИ!$N$3:$O$22,2),HLOOKUP(U$6,СГИ!$P$1:$AI$2,2))),"",INDEX(СГИ!$P$3:$AI$22,VLOOKUP($P9,СГИ!$N$3:$O$22,2),HLOOKUP(U$6,СГИ!$P$1:$AI$2,2)))=1,CONCATENATE("при измерении ",$P9," ",U$6," не допускается ! "),"")</f>
      </c>
      <c r="V9" s="277">
        <f>IF(IF(ISNA(INDEX(СГИ!$P$3:$AI$22,VLOOKUP($P9,СГИ!$N$3:$O$22,2),HLOOKUP(V$6,СГИ!$P$1:$AI$2,2))),"",INDEX(СГИ!$P$3:$AI$22,VLOOKUP($P9,СГИ!$N$3:$O$22,2),HLOOKUP(V$6,СГИ!$P$1:$AI$2,2)))=1,CONCATENATE("при измерении ",$P9," ",V$6," не допускается ! "),"")</f>
      </c>
      <c r="W9" s="277">
        <f>IF(IF(ISNA(INDEX(СГИ!$P$3:$AI$22,VLOOKUP($P9,СГИ!$N$3:$O$22,2),HLOOKUP(W$6,СГИ!$P$1:$AI$2,2))),"",INDEX(СГИ!$P$3:$AI$22,VLOOKUP($P9,СГИ!$N$3:$O$22,2),HLOOKUP(W$6,СГИ!$P$1:$AI$2,2)))=1,CONCATENATE("при измерении ",$P9," ",W$6," не допускается ! "),"")</f>
      </c>
      <c r="X9" s="277">
        <f>IF(IF(ISNA(INDEX(СГИ!$P$3:$AI$22,VLOOKUP($P9,СГИ!$N$3:$O$22,2),HLOOKUP(X$6,СГИ!$P$1:$AI$2,2))),"",INDEX(СГИ!$P$3:$AI$22,VLOOKUP($P9,СГИ!$N$3:$O$22,2),HLOOKUP(X$6,СГИ!$P$1:$AI$2,2)))=1,CONCATENATE("при измерении ",$P9," ",X$6," не допускается ! "),"")</f>
      </c>
      <c r="Y9" s="277">
        <f>IF(IF(ISNA(INDEX(СГИ!$P$3:$AI$22,VLOOKUP($P9,СГИ!$N$3:$O$22,2),HLOOKUP(Y$6,СГИ!$P$1:$AI$2,2))),"",INDEX(СГИ!$P$3:$AI$22,VLOOKUP($P9,СГИ!$N$3:$O$22,2),HLOOKUP(Y$6,СГИ!$P$1:$AI$2,2)))=1,CONCATENATE("при измерении ",$P9," ",Y$6," не допускается ! "),"")</f>
      </c>
      <c r="Z9" s="277">
        <f>IF(IF(ISNA(INDEX(СГИ!$P$3:$AI$22,VLOOKUP($P9,СГИ!$N$3:$O$22,2),HLOOKUP(Z$6,СГИ!$P$1:$AI$2,2))),"",INDEX(СГИ!$P$3:$AI$22,VLOOKUP($P9,СГИ!$N$3:$O$22,2),HLOOKUP(Z$6,СГИ!$P$1:$AI$2,2)))=1,CONCATENATE("при измерении ",$P9," ",Z$6," не допускается ! "),"")</f>
      </c>
      <c r="AA9" s="277">
        <f>IF(IF(ISNA(INDEX(СГИ!$P$3:$AI$22,VLOOKUP($P9,СГИ!$N$3:$O$22,2),HLOOKUP(AA$6,СГИ!$P$1:$AI$2,2))),"",INDEX(СГИ!$P$3:$AI$22,VLOOKUP($P9,СГИ!$N$3:$O$22,2),HLOOKUP(AA$6,СГИ!$P$1:$AI$2,2)))=1,CONCATENATE("при измерении ",$P9," ",AA$6," не допускается ! "),"")</f>
      </c>
      <c r="AB9" s="277">
        <f>IF(IF(ISNA(INDEX(СГИ!$P$3:$AI$22,VLOOKUP($P9,СГИ!$N$3:$O$22,2),HLOOKUP(AB$6,СГИ!$P$1:$AI$2,2))),"",INDEX(СГИ!$P$3:$AI$22,VLOOKUP($P9,СГИ!$N$3:$O$22,2),HLOOKUP(AB$6,СГИ!$P$1:$AI$2,2)))=1,CONCATENATE("при измерении ",$P9," ",AB$6," не допускается ! "),"")</f>
      </c>
      <c r="AC9" s="277">
        <f>IF(IF(ISNA(INDEX(СГИ!$P$3:$AI$22,VLOOKUP($P9,СГИ!$N$3:$O$22,2),HLOOKUP(AC$6,СГИ!$P$1:$AI$2,2))),"",INDEX(СГИ!$P$3:$AI$22,VLOOKUP($P9,СГИ!$N$3:$O$22,2),HLOOKUP(AC$6,СГИ!$P$1:$AI$2,2)))=1,CONCATENATE("при измерении ",$P9," ",AC$6," не допускается ! "),"")</f>
      </c>
      <c r="AD9" s="277">
        <f>IF(IF(ISNA(INDEX(СГИ!$P$3:$AI$22,VLOOKUP($P9,СГИ!$N$3:$O$22,2),HLOOKUP(AD$6,СГИ!$P$1:$AI$2,2))),"",INDEX(СГИ!$P$3:$AI$22,VLOOKUP($P9,СГИ!$N$3:$O$22,2),HLOOKUP(AD$6,СГИ!$P$1:$AI$2,2)))=1,CONCATENATE("при измерении ",$P9," ",AD$6," не допускается ! "),"")</f>
      </c>
      <c r="AE9" s="277">
        <f>IF(IF(ISNA(INDEX(СГИ!$P$3:$AI$22,VLOOKUP($P9,СГИ!$N$3:$O$22,2),HLOOKUP(AE$6,СГИ!$P$1:$AI$2,2))),"",INDEX(СГИ!$P$3:$AI$22,VLOOKUP($P9,СГИ!$N$3:$O$22,2),HLOOKUP(AE$6,СГИ!$P$1:$AI$2,2)))=1,CONCATENATE("при измерении ",$P9," ",AE$6," не допускается ! "),"")</f>
      </c>
      <c r="AF9" s="277">
        <f>IF(IF(ISNA(INDEX(СГИ!$P$3:$AI$22,VLOOKUP($P9,СГИ!$N$3:$O$22,2),HLOOKUP(AF$6,СГИ!$P$1:$AI$2,2))),"",INDEX(СГИ!$P$3:$AI$22,VLOOKUP($P9,СГИ!$N$3:$O$22,2),HLOOKUP(AF$6,СГИ!$P$1:$AI$2,2)))=1,CONCATENATE("при измерении ",$P9," ",AF$6," не допускается ! "),"")</f>
      </c>
      <c r="AG9" s="277">
        <f>IF(IF(ISNA(INDEX(СГИ!$P$3:$AI$22,VLOOKUP($P9,СГИ!$N$3:$O$22,2),HLOOKUP(AG$6,СГИ!$P$1:$AI$2,2))),"",INDEX(СГИ!$P$3:$AI$22,VLOOKUP($P9,СГИ!$N$3:$O$22,2),HLOOKUP(AG$6,СГИ!$P$1:$AI$2,2)))=1,CONCATENATE("при измерении ",$P9," ",AG$6," не допускается ! "),"")</f>
      </c>
      <c r="AH9" s="372">
        <f>IF(IF(ISNA(INDEX(СГИ!$P$3:$AI$22,VLOOKUP($P9,СГИ!$N$3:$O$22,2),HLOOKUP(AH$6,СГИ!$P$1:$AI$2,2))),"",INDEX(СГИ!$P$3:$AI$22,VLOOKUP($P9,СГИ!$N$3:$O$22,2),HLOOKUP(AH$6,СГИ!$P$1:$AI$2,2)))=1,CONCATENATE("при измерении ",$P9," ",AH$6," не допускается ! "),"")</f>
      </c>
      <c r="AI9">
        <f t="shared" si="3"/>
      </c>
    </row>
    <row r="10" spans="1:35" ht="34.5" customHeight="1">
      <c r="A10" s="374" t="s">
        <v>379</v>
      </c>
      <c r="B10" s="377"/>
      <c r="C10" s="377"/>
      <c r="D10" s="332" t="s">
        <v>384</v>
      </c>
      <c r="E10" s="368"/>
      <c r="F10" s="369" t="str">
        <f t="shared" si="1"/>
        <v>&lt;- введите данные, где необходимо</v>
      </c>
      <c r="G10"/>
      <c r="H10" s="867"/>
      <c r="I10" s="889">
        <f>IF(AND(I9="взрывозащита не предусмотрена",I8=""),"ниже - цена без взрывозащиты","")</f>
      </c>
      <c r="J10" s="885">
        <f>IF(AND($E10=1,NOT(AND(E$26=1,OR(E$24=1,E$13=1)))),CONCATENATE("-",$D10),"")</f>
      </c>
      <c r="K10" s="337">
        <f t="shared" si="2"/>
        <v>0</v>
      </c>
      <c r="N10" s="371">
        <f>IF(E10&gt;0,ПГ!D10,"")</f>
      </c>
      <c r="P10" s="276">
        <f t="shared" si="0"/>
      </c>
      <c r="Q10" s="277">
        <f>IF(IF(ISNA(INDEX(СГИ!$P$3:$AI$22,VLOOKUP($P10,СГИ!$N$3:$O$22,2),HLOOKUP(Q$6,СГИ!$P$1:$AI$2,2))),"",INDEX(СГИ!$P$3:$AI$22,VLOOKUP($P10,СГИ!$N$3:$O$22,2),HLOOKUP(Q$6,СГИ!$P$1:$AI$2,2)))=1,CONCATENATE("при измерении ",$P10," ",Q$6," не допускается ! "),"")</f>
      </c>
      <c r="R10" s="277">
        <f>IF(IF(ISNA(INDEX(СГИ!$P$3:$AI$22,VLOOKUP($P10,СГИ!$N$3:$O$22,2),HLOOKUP(R$6,СГИ!$P$1:$AI$2,2))),"",INDEX(СГИ!$P$3:$AI$22,VLOOKUP($P10,СГИ!$N$3:$O$22,2),HLOOKUP(R$6,СГИ!$P$1:$AI$2,2)))=1,CONCATENATE("при измерении ",$P10," ",R$6," не допускается ! "),"")</f>
      </c>
      <c r="S10" s="277">
        <f>IF(IF(ISNA(INDEX(СГИ!$P$3:$AI$22,VLOOKUP($P10,СГИ!$N$3:$O$22,2),HLOOKUP(S$6,СГИ!$P$1:$AI$2,2))),"",INDEX(СГИ!$P$3:$AI$22,VLOOKUP($P10,СГИ!$N$3:$O$22,2),HLOOKUP(S$6,СГИ!$P$1:$AI$2,2)))=1,CONCATENATE("при измерении ",$P10," ",S$6," не допускается ! "),"")</f>
      </c>
      <c r="T10" s="277">
        <f>IF(IF(ISNA(INDEX(СГИ!$P$3:$AI$22,VLOOKUP($P10,СГИ!$N$3:$O$22,2),HLOOKUP(T$6,СГИ!$P$1:$AI$2,2))),"",INDEX(СГИ!$P$3:$AI$22,VLOOKUP($P10,СГИ!$N$3:$O$22,2),HLOOKUP(T$6,СГИ!$P$1:$AI$2,2)))=1,CONCATENATE("при измерении ",$P10," ",T$6," не допускается ! "),"")</f>
      </c>
      <c r="U10" s="277">
        <f>IF(IF(ISNA(INDEX(СГИ!$P$3:$AI$22,VLOOKUP($P10,СГИ!$N$3:$O$22,2),HLOOKUP(U$6,СГИ!$P$1:$AI$2,2))),"",INDEX(СГИ!$P$3:$AI$22,VLOOKUP($P10,СГИ!$N$3:$O$22,2),HLOOKUP(U$6,СГИ!$P$1:$AI$2,2)))=1,CONCATENATE("при измерении ",$P10," ",U$6," не допускается ! "),"")</f>
      </c>
      <c r="V10" s="277">
        <f>IF(IF(ISNA(INDEX(СГИ!$P$3:$AI$22,VLOOKUP($P10,СГИ!$N$3:$O$22,2),HLOOKUP(V$6,СГИ!$P$1:$AI$2,2))),"",INDEX(СГИ!$P$3:$AI$22,VLOOKUP($P10,СГИ!$N$3:$O$22,2),HLOOKUP(V$6,СГИ!$P$1:$AI$2,2)))=1,CONCATENATE("при измерении ",$P10," ",V$6," не допускается ! "),"")</f>
      </c>
      <c r="W10" s="277">
        <f>IF(IF(ISNA(INDEX(СГИ!$P$3:$AI$22,VLOOKUP($P10,СГИ!$N$3:$O$22,2),HLOOKUP(W$6,СГИ!$P$1:$AI$2,2))),"",INDEX(СГИ!$P$3:$AI$22,VLOOKUP($P10,СГИ!$N$3:$O$22,2),HLOOKUP(W$6,СГИ!$P$1:$AI$2,2)))=1,CONCATENATE("при измерении ",$P10," ",W$6," не допускается ! "),"")</f>
      </c>
      <c r="X10" s="277">
        <f>IF(IF(ISNA(INDEX(СГИ!$P$3:$AI$22,VLOOKUP($P10,СГИ!$N$3:$O$22,2),HLOOKUP(X$6,СГИ!$P$1:$AI$2,2))),"",INDEX(СГИ!$P$3:$AI$22,VLOOKUP($P10,СГИ!$N$3:$O$22,2),HLOOKUP(X$6,СГИ!$P$1:$AI$2,2)))=1,CONCATENATE("при измерении ",$P10," ",X$6," не допускается ! "),"")</f>
      </c>
      <c r="Y10" s="277">
        <f>IF(IF(ISNA(INDEX(СГИ!$P$3:$AI$22,VLOOKUP($P10,СГИ!$N$3:$O$22,2),HLOOKUP(Y$6,СГИ!$P$1:$AI$2,2))),"",INDEX(СГИ!$P$3:$AI$22,VLOOKUP($P10,СГИ!$N$3:$O$22,2),HLOOKUP(Y$6,СГИ!$P$1:$AI$2,2)))=1,CONCATENATE("при измерении ",$P10," ",Y$6," не допускается ! "),"")</f>
      </c>
      <c r="Z10" s="277">
        <f>IF(IF(ISNA(INDEX(СГИ!$P$3:$AI$22,VLOOKUP($P10,СГИ!$N$3:$O$22,2),HLOOKUP(Z$6,СГИ!$P$1:$AI$2,2))),"",INDEX(СГИ!$P$3:$AI$22,VLOOKUP($P10,СГИ!$N$3:$O$22,2),HLOOKUP(Z$6,СГИ!$P$1:$AI$2,2)))=1,CONCATENATE("при измерении ",$P10," ",Z$6," не допускается ! "),"")</f>
      </c>
      <c r="AA10" s="277">
        <f>IF(IF(ISNA(INDEX(СГИ!$P$3:$AI$22,VLOOKUP($P10,СГИ!$N$3:$O$22,2),HLOOKUP(AA$6,СГИ!$P$1:$AI$2,2))),"",INDEX(СГИ!$P$3:$AI$22,VLOOKUP($P10,СГИ!$N$3:$O$22,2),HLOOKUP(AA$6,СГИ!$P$1:$AI$2,2)))=1,CONCATENATE("при измерении ",$P10," ",AA$6," не допускается ! "),"")</f>
      </c>
      <c r="AB10" s="277">
        <f>IF(IF(ISNA(INDEX(СГИ!$P$3:$AI$22,VLOOKUP($P10,СГИ!$N$3:$O$22,2),HLOOKUP(AB$6,СГИ!$P$1:$AI$2,2))),"",INDEX(СГИ!$P$3:$AI$22,VLOOKUP($P10,СГИ!$N$3:$O$22,2),HLOOKUP(AB$6,СГИ!$P$1:$AI$2,2)))=1,CONCATENATE("при измерении ",$P10," ",AB$6," не допускается ! "),"")</f>
      </c>
      <c r="AC10" s="277">
        <f>IF(IF(ISNA(INDEX(СГИ!$P$3:$AI$22,VLOOKUP($P10,СГИ!$N$3:$O$22,2),HLOOKUP(AC$6,СГИ!$P$1:$AI$2,2))),"",INDEX(СГИ!$P$3:$AI$22,VLOOKUP($P10,СГИ!$N$3:$O$22,2),HLOOKUP(AC$6,СГИ!$P$1:$AI$2,2)))=1,CONCATENATE("при измерении ",$P10," ",AC$6," не допускается ! "),"")</f>
      </c>
      <c r="AD10" s="277">
        <f>IF(IF(ISNA(INDEX(СГИ!$P$3:$AI$22,VLOOKUP($P10,СГИ!$N$3:$O$22,2),HLOOKUP(AD$6,СГИ!$P$1:$AI$2,2))),"",INDEX(СГИ!$P$3:$AI$22,VLOOKUP($P10,СГИ!$N$3:$O$22,2),HLOOKUP(AD$6,СГИ!$P$1:$AI$2,2)))=1,CONCATENATE("при измерении ",$P10," ",AD$6," не допускается ! "),"")</f>
      </c>
      <c r="AE10" s="277">
        <f>IF(IF(ISNA(INDEX(СГИ!$P$3:$AI$22,VLOOKUP($P10,СГИ!$N$3:$O$22,2),HLOOKUP(AE$6,СГИ!$P$1:$AI$2,2))),"",INDEX(СГИ!$P$3:$AI$22,VLOOKUP($P10,СГИ!$N$3:$O$22,2),HLOOKUP(AE$6,СГИ!$P$1:$AI$2,2)))=1,CONCATENATE("при измерении ",$P10," ",AE$6," не допускается ! "),"")</f>
      </c>
      <c r="AF10" s="277">
        <f>IF(IF(ISNA(INDEX(СГИ!$P$3:$AI$22,VLOOKUP($P10,СГИ!$N$3:$O$22,2),HLOOKUP(AF$6,СГИ!$P$1:$AI$2,2))),"",INDEX(СГИ!$P$3:$AI$22,VLOOKUP($P10,СГИ!$N$3:$O$22,2),HLOOKUP(AF$6,СГИ!$P$1:$AI$2,2)))=1,CONCATENATE("при измерении ",$P10," ",AF$6," не допускается ! "),"")</f>
      </c>
      <c r="AG10" s="277">
        <f>IF(IF(ISNA(INDEX(СГИ!$P$3:$AI$22,VLOOKUP($P10,СГИ!$N$3:$O$22,2),HLOOKUP(AG$6,СГИ!$P$1:$AI$2,2))),"",INDEX(СГИ!$P$3:$AI$22,VLOOKUP($P10,СГИ!$N$3:$O$22,2),HLOOKUP(AG$6,СГИ!$P$1:$AI$2,2)))=1,CONCATENATE("при измерении ",$P10," ",AG$6," не допускается ! "),"")</f>
      </c>
      <c r="AH10" s="372">
        <f>IF(IF(ISNA(INDEX(СГИ!$P$3:$AI$22,VLOOKUP($P10,СГИ!$N$3:$O$22,2),HLOOKUP(AH$6,СГИ!$P$1:$AI$2,2))),"",INDEX(СГИ!$P$3:$AI$22,VLOOKUP($P10,СГИ!$N$3:$O$22,2),HLOOKUP(AH$6,СГИ!$P$1:$AI$2,2)))=1,CONCATENATE("при измерении ",$P10," ",AH$6," не допускается ! "),"")</f>
      </c>
      <c r="AI10">
        <f t="shared" si="3"/>
      </c>
    </row>
    <row r="11" spans="1:35" ht="35.25" customHeight="1">
      <c r="A11" s="374" t="s">
        <v>379</v>
      </c>
      <c r="B11" s="377"/>
      <c r="C11" s="377"/>
      <c r="D11" s="332" t="s">
        <v>386</v>
      </c>
      <c r="E11" s="368"/>
      <c r="F11" s="369" t="str">
        <f t="shared" si="1"/>
        <v>&lt;- введите данные, где необходимо</v>
      </c>
      <c r="G11"/>
      <c r="H11" s="867"/>
      <c r="I11" s="868"/>
      <c r="J11" s="885">
        <f>IF(AND($E11=1,NOT(AND(E$26=1,OR(E$24=1,E$13=1)))),CONCATENATE("-",$D11),"")</f>
      </c>
      <c r="K11" s="337">
        <f t="shared" si="2"/>
        <v>0</v>
      </c>
      <c r="N11" s="371">
        <f>IF(E11&gt;0,ПГ!D11,"")</f>
      </c>
      <c r="P11" s="276">
        <f t="shared" si="0"/>
      </c>
      <c r="Q11" s="277">
        <f>IF(IF(ISNA(INDEX(СГИ!$P$3:$AI$22,VLOOKUP($P11,СГИ!$N$3:$O$22,2),HLOOKUP(Q$6,СГИ!$P$1:$AI$2,2))),"",INDEX(СГИ!$P$3:$AI$22,VLOOKUP($P11,СГИ!$N$3:$O$22,2),HLOOKUP(Q$6,СГИ!$P$1:$AI$2,2)))=1,CONCATENATE("при измерении ",$P11," ",Q$6," не допускается ! "),"")</f>
      </c>
      <c r="R11" s="277">
        <f>IF(IF(ISNA(INDEX(СГИ!$P$3:$AI$22,VLOOKUP($P11,СГИ!$N$3:$O$22,2),HLOOKUP(R$6,СГИ!$P$1:$AI$2,2))),"",INDEX(СГИ!$P$3:$AI$22,VLOOKUP($P11,СГИ!$N$3:$O$22,2),HLOOKUP(R$6,СГИ!$P$1:$AI$2,2)))=1,CONCATENATE("при измерении ",$P11," ",R$6," не допускается ! "),"")</f>
      </c>
      <c r="S11" s="277">
        <f>IF(IF(ISNA(INDEX(СГИ!$P$3:$AI$22,VLOOKUP($P11,СГИ!$N$3:$O$22,2),HLOOKUP(S$6,СГИ!$P$1:$AI$2,2))),"",INDEX(СГИ!$P$3:$AI$22,VLOOKUP($P11,СГИ!$N$3:$O$22,2),HLOOKUP(S$6,СГИ!$P$1:$AI$2,2)))=1,CONCATENATE("при измерении ",$P11," ",S$6," не допускается ! "),"")</f>
      </c>
      <c r="T11" s="277">
        <f>IF(IF(ISNA(INDEX(СГИ!$P$3:$AI$22,VLOOKUP($P11,СГИ!$N$3:$O$22,2),HLOOKUP(T$6,СГИ!$P$1:$AI$2,2))),"",INDEX(СГИ!$P$3:$AI$22,VLOOKUP($P11,СГИ!$N$3:$O$22,2),HLOOKUP(T$6,СГИ!$P$1:$AI$2,2)))=1,CONCATENATE("при измерении ",$P11," ",T$6," не допускается ! "),"")</f>
      </c>
      <c r="U11" s="277">
        <f>IF(IF(ISNA(INDEX(СГИ!$P$3:$AI$22,VLOOKUP($P11,СГИ!$N$3:$O$22,2),HLOOKUP(U$6,СГИ!$P$1:$AI$2,2))),"",INDEX(СГИ!$P$3:$AI$22,VLOOKUP($P11,СГИ!$N$3:$O$22,2),HLOOKUP(U$6,СГИ!$P$1:$AI$2,2)))=1,CONCATENATE("при измерении ",$P11," ",U$6," не допускается ! "),"")</f>
      </c>
      <c r="V11" s="277">
        <f>IF(IF(ISNA(INDEX(СГИ!$P$3:$AI$22,VLOOKUP($P11,СГИ!$N$3:$O$22,2),HLOOKUP(V$6,СГИ!$P$1:$AI$2,2))),"",INDEX(СГИ!$P$3:$AI$22,VLOOKUP($P11,СГИ!$N$3:$O$22,2),HLOOKUP(V$6,СГИ!$P$1:$AI$2,2)))=1,CONCATENATE("при измерении ",$P11," ",V$6," не допускается ! "),"")</f>
      </c>
      <c r="W11" s="277">
        <f>IF(IF(ISNA(INDEX(СГИ!$P$3:$AI$22,VLOOKUP($P11,СГИ!$N$3:$O$22,2),HLOOKUP(W$6,СГИ!$P$1:$AI$2,2))),"",INDEX(СГИ!$P$3:$AI$22,VLOOKUP($P11,СГИ!$N$3:$O$22,2),HLOOKUP(W$6,СГИ!$P$1:$AI$2,2)))=1,CONCATENATE("при измерении ",$P11," ",W$6," не допускается ! "),"")</f>
      </c>
      <c r="X11" s="277">
        <f>IF(IF(ISNA(INDEX(СГИ!$P$3:$AI$22,VLOOKUP($P11,СГИ!$N$3:$O$22,2),HLOOKUP(X$6,СГИ!$P$1:$AI$2,2))),"",INDEX(СГИ!$P$3:$AI$22,VLOOKUP($P11,СГИ!$N$3:$O$22,2),HLOOKUP(X$6,СГИ!$P$1:$AI$2,2)))=1,CONCATENATE("при измерении ",$P11," ",X$6," не допускается ! "),"")</f>
      </c>
      <c r="Y11" s="277">
        <f>IF(IF(ISNA(INDEX(СГИ!$P$3:$AI$22,VLOOKUP($P11,СГИ!$N$3:$O$22,2),HLOOKUP(Y$6,СГИ!$P$1:$AI$2,2))),"",INDEX(СГИ!$P$3:$AI$22,VLOOKUP($P11,СГИ!$N$3:$O$22,2),HLOOKUP(Y$6,СГИ!$P$1:$AI$2,2)))=1,CONCATENATE("при измерении ",$P11," ",Y$6," не допускается ! "),"")</f>
      </c>
      <c r="Z11" s="277">
        <f>IF(IF(ISNA(INDEX(СГИ!$P$3:$AI$22,VLOOKUP($P11,СГИ!$N$3:$O$22,2),HLOOKUP(Z$6,СГИ!$P$1:$AI$2,2))),"",INDEX(СГИ!$P$3:$AI$22,VLOOKUP($P11,СГИ!$N$3:$O$22,2),HLOOKUP(Z$6,СГИ!$P$1:$AI$2,2)))=1,CONCATENATE("при измерении ",$P11," ",Z$6," не допускается ! "),"")</f>
      </c>
      <c r="AA11" s="277">
        <f>IF(IF(ISNA(INDEX(СГИ!$P$3:$AI$22,VLOOKUP($P11,СГИ!$N$3:$O$22,2),HLOOKUP(AA$6,СГИ!$P$1:$AI$2,2))),"",INDEX(СГИ!$P$3:$AI$22,VLOOKUP($P11,СГИ!$N$3:$O$22,2),HLOOKUP(AA$6,СГИ!$P$1:$AI$2,2)))=1,CONCATENATE("при измерении ",$P11," ",AA$6," не допускается ! "),"")</f>
      </c>
      <c r="AB11" s="277">
        <f>IF(IF(ISNA(INDEX(СГИ!$P$3:$AI$22,VLOOKUP($P11,СГИ!$N$3:$O$22,2),HLOOKUP(AB$6,СГИ!$P$1:$AI$2,2))),"",INDEX(СГИ!$P$3:$AI$22,VLOOKUP($P11,СГИ!$N$3:$O$22,2),HLOOKUP(AB$6,СГИ!$P$1:$AI$2,2)))=1,CONCATENATE("при измерении ",$P11," ",AB$6," не допускается ! "),"")</f>
      </c>
      <c r="AC11" s="277">
        <f>IF(IF(ISNA(INDEX(СГИ!$P$3:$AI$22,VLOOKUP($P11,СГИ!$N$3:$O$22,2),HLOOKUP(AC$6,СГИ!$P$1:$AI$2,2))),"",INDEX(СГИ!$P$3:$AI$22,VLOOKUP($P11,СГИ!$N$3:$O$22,2),HLOOKUP(AC$6,СГИ!$P$1:$AI$2,2)))=1,CONCATENATE("при измерении ",$P11," ",AC$6," не допускается ! "),"")</f>
      </c>
      <c r="AD11" s="277">
        <f>IF(IF(ISNA(INDEX(СГИ!$P$3:$AI$22,VLOOKUP($P11,СГИ!$N$3:$O$22,2),HLOOKUP(AD$6,СГИ!$P$1:$AI$2,2))),"",INDEX(СГИ!$P$3:$AI$22,VLOOKUP($P11,СГИ!$N$3:$O$22,2),HLOOKUP(AD$6,СГИ!$P$1:$AI$2,2)))=1,CONCATENATE("при измерении ",$P11," ",AD$6," не допускается ! "),"")</f>
      </c>
      <c r="AE11" s="277">
        <f>IF(IF(ISNA(INDEX(СГИ!$P$3:$AI$22,VLOOKUP($P11,СГИ!$N$3:$O$22,2),HLOOKUP(AE$6,СГИ!$P$1:$AI$2,2))),"",INDEX(СГИ!$P$3:$AI$22,VLOOKUP($P11,СГИ!$N$3:$O$22,2),HLOOKUP(AE$6,СГИ!$P$1:$AI$2,2)))=1,CONCATENATE("при измерении ",$P11," ",AE$6," не допускается ! "),"")</f>
      </c>
      <c r="AF11" s="277">
        <f>IF(IF(ISNA(INDEX(СГИ!$P$3:$AI$22,VLOOKUP($P11,СГИ!$N$3:$O$22,2),HLOOKUP(AF$6,СГИ!$P$1:$AI$2,2))),"",INDEX(СГИ!$P$3:$AI$22,VLOOKUP($P11,СГИ!$N$3:$O$22,2),HLOOKUP(AF$6,СГИ!$P$1:$AI$2,2)))=1,CONCATENATE("при измерении ",$P11," ",AF$6," не допускается ! "),"")</f>
      </c>
      <c r="AG11" s="277">
        <f>IF(IF(ISNA(INDEX(СГИ!$P$3:$AI$22,VLOOKUP($P11,СГИ!$N$3:$O$22,2),HLOOKUP(AG$6,СГИ!$P$1:$AI$2,2))),"",INDEX(СГИ!$P$3:$AI$22,VLOOKUP($P11,СГИ!$N$3:$O$22,2),HLOOKUP(AG$6,СГИ!$P$1:$AI$2,2)))=1,CONCATENATE("при измерении ",$P11," ",AG$6," не допускается ! "),"")</f>
      </c>
      <c r="AH11" s="372">
        <f>IF(IF(ISNA(INDEX(СГИ!$P$3:$AI$22,VLOOKUP($P11,СГИ!$N$3:$O$22,2),HLOOKUP(AH$6,СГИ!$P$1:$AI$2,2))),"",INDEX(СГИ!$P$3:$AI$22,VLOOKUP($P11,СГИ!$N$3:$O$22,2),HLOOKUP(AH$6,СГИ!$P$1:$AI$2,2)))=1,CONCATENATE("при измерении ",$P11," ",AH$6," не допускается ! "),"")</f>
      </c>
      <c r="AI11">
        <f t="shared" si="3"/>
      </c>
    </row>
    <row r="12" spans="1:35" ht="34.5" customHeight="1" thickBot="1">
      <c r="A12" s="378" t="s">
        <v>379</v>
      </c>
      <c r="B12" s="377"/>
      <c r="C12" s="377"/>
      <c r="D12" s="379" t="s">
        <v>388</v>
      </c>
      <c r="E12" s="368"/>
      <c r="F12" s="369" t="str">
        <f t="shared" si="1"/>
        <v>&lt;- введите данные, где необходимо</v>
      </c>
      <c r="G12"/>
      <c r="H12" s="890"/>
      <c r="I12" s="858" t="str">
        <f>IF(AND(I9="взрывозащита не предусмотрена",NOT(I13="проверьте ввод данных")),"ЦЕНЫ без взрывозащиты, руб.:",IF(I13="проверьте ввод данных","ЦЕНЫ","ЦЕНЫ с взрывозащитой, руб.:"))</f>
        <v>ЦЕНЫ</v>
      </c>
      <c r="J12" s="885">
        <f>IF(AND($E12=1,NOT(AND(E$26=1,OR(E$24=1,E$13=1)))),CONCATENATE("-",$D12),"")</f>
      </c>
      <c r="K12" s="337">
        <f t="shared" si="2"/>
        <v>0</v>
      </c>
      <c r="L12" s="364"/>
      <c r="N12" s="371">
        <f>IF(E12&gt;0,ПГ!D12,"")</f>
      </c>
      <c r="P12" s="276">
        <f t="shared" si="0"/>
      </c>
      <c r="Q12" s="277">
        <f>IF(IF(ISNA(INDEX(СГИ!$P$3:$AI$22,VLOOKUP($P12,СГИ!$N$3:$O$22,2),HLOOKUP(Q$6,СГИ!$P$1:$AI$2,2))),"",INDEX(СГИ!$P$3:$AI$22,VLOOKUP($P12,СГИ!$N$3:$O$22,2),HLOOKUP(Q$6,СГИ!$P$1:$AI$2,2)))=1,CONCATENATE("при измерении ",$P12," ",Q$6," не допускается ! "),"")</f>
      </c>
      <c r="R12" s="277">
        <f>IF(IF(ISNA(INDEX(СГИ!$P$3:$AI$22,VLOOKUP($P12,СГИ!$N$3:$O$22,2),HLOOKUP(R$6,СГИ!$P$1:$AI$2,2))),"",INDEX(СГИ!$P$3:$AI$22,VLOOKUP($P12,СГИ!$N$3:$O$22,2),HLOOKUP(R$6,СГИ!$P$1:$AI$2,2)))=1,CONCATENATE("при измерении ",$P12," ",R$6," не допускается ! "),"")</f>
      </c>
      <c r="S12" s="277">
        <f>IF(IF(ISNA(INDEX(СГИ!$P$3:$AI$22,VLOOKUP($P12,СГИ!$N$3:$O$22,2),HLOOKUP(S$6,СГИ!$P$1:$AI$2,2))),"",INDEX(СГИ!$P$3:$AI$22,VLOOKUP($P12,СГИ!$N$3:$O$22,2),HLOOKUP(S$6,СГИ!$P$1:$AI$2,2)))=1,CONCATENATE("при измерении ",$P12," ",S$6," не допускается ! "),"")</f>
      </c>
      <c r="T12" s="277">
        <f>IF(IF(ISNA(INDEX(СГИ!$P$3:$AI$22,VLOOKUP($P12,СГИ!$N$3:$O$22,2),HLOOKUP(T$6,СГИ!$P$1:$AI$2,2))),"",INDEX(СГИ!$P$3:$AI$22,VLOOKUP($P12,СГИ!$N$3:$O$22,2),HLOOKUP(T$6,СГИ!$P$1:$AI$2,2)))=1,CONCATENATE("при измерении ",$P12," ",T$6," не допускается ! "),"")</f>
      </c>
      <c r="U12" s="277">
        <f>IF(IF(ISNA(INDEX(СГИ!$P$3:$AI$22,VLOOKUP($P12,СГИ!$N$3:$O$22,2),HLOOKUP(U$6,СГИ!$P$1:$AI$2,2))),"",INDEX(СГИ!$P$3:$AI$22,VLOOKUP($P12,СГИ!$N$3:$O$22,2),HLOOKUP(U$6,СГИ!$P$1:$AI$2,2)))=1,CONCATENATE("при измерении ",$P12," ",U$6," не допускается ! "),"")</f>
      </c>
      <c r="V12" s="277">
        <f>IF(IF(ISNA(INDEX(СГИ!$P$3:$AI$22,VLOOKUP($P12,СГИ!$N$3:$O$22,2),HLOOKUP(V$6,СГИ!$P$1:$AI$2,2))),"",INDEX(СГИ!$P$3:$AI$22,VLOOKUP($P12,СГИ!$N$3:$O$22,2),HLOOKUP(V$6,СГИ!$P$1:$AI$2,2)))=1,CONCATENATE("при измерении ",$P12," ",V$6," не допускается ! "),"")</f>
      </c>
      <c r="W12" s="277">
        <f>IF(IF(ISNA(INDEX(СГИ!$P$3:$AI$22,VLOOKUP($P12,СГИ!$N$3:$O$22,2),HLOOKUP(W$6,СГИ!$P$1:$AI$2,2))),"",INDEX(СГИ!$P$3:$AI$22,VLOOKUP($P12,СГИ!$N$3:$O$22,2),HLOOKUP(W$6,СГИ!$P$1:$AI$2,2)))=1,CONCATENATE("при измерении ",$P12," ",W$6," не допускается ! "),"")</f>
      </c>
      <c r="X12" s="277">
        <f>IF(IF(ISNA(INDEX(СГИ!$P$3:$AI$22,VLOOKUP($P12,СГИ!$N$3:$O$22,2),HLOOKUP(X$6,СГИ!$P$1:$AI$2,2))),"",INDEX(СГИ!$P$3:$AI$22,VLOOKUP($P12,СГИ!$N$3:$O$22,2),HLOOKUP(X$6,СГИ!$P$1:$AI$2,2)))=1,CONCATENATE("при измерении ",$P12," ",X$6," не допускается ! "),"")</f>
      </c>
      <c r="Y12" s="277">
        <f>IF(IF(ISNA(INDEX(СГИ!$P$3:$AI$22,VLOOKUP($P12,СГИ!$N$3:$O$22,2),HLOOKUP(Y$6,СГИ!$P$1:$AI$2,2))),"",INDEX(СГИ!$P$3:$AI$22,VLOOKUP($P12,СГИ!$N$3:$O$22,2),HLOOKUP(Y$6,СГИ!$P$1:$AI$2,2)))=1,CONCATENATE("при измерении ",$P12," ",Y$6," не допускается ! "),"")</f>
      </c>
      <c r="Z12" s="277">
        <f>IF(IF(ISNA(INDEX(СГИ!$P$3:$AI$22,VLOOKUP($P12,СГИ!$N$3:$O$22,2),HLOOKUP(Z$6,СГИ!$P$1:$AI$2,2))),"",INDEX(СГИ!$P$3:$AI$22,VLOOKUP($P12,СГИ!$N$3:$O$22,2),HLOOKUP(Z$6,СГИ!$P$1:$AI$2,2)))=1,CONCATENATE("при измерении ",$P12," ",Z$6," не допускается ! "),"")</f>
      </c>
      <c r="AA12" s="277">
        <f>IF(IF(ISNA(INDEX(СГИ!$P$3:$AI$22,VLOOKUP($P12,СГИ!$N$3:$O$22,2),HLOOKUP(AA$6,СГИ!$P$1:$AI$2,2))),"",INDEX(СГИ!$P$3:$AI$22,VLOOKUP($P12,СГИ!$N$3:$O$22,2),HLOOKUP(AA$6,СГИ!$P$1:$AI$2,2)))=1,CONCATENATE("при измерении ",$P12," ",AA$6," не допускается ! "),"")</f>
      </c>
      <c r="AB12" s="277">
        <f>IF(IF(ISNA(INDEX(СГИ!$P$3:$AI$22,VLOOKUP($P12,СГИ!$N$3:$O$22,2),HLOOKUP(AB$6,СГИ!$P$1:$AI$2,2))),"",INDEX(СГИ!$P$3:$AI$22,VLOOKUP($P12,СГИ!$N$3:$O$22,2),HLOOKUP(AB$6,СГИ!$P$1:$AI$2,2)))=1,CONCATENATE("при измерении ",$P12," ",AB$6," не допускается ! "),"")</f>
      </c>
      <c r="AC12" s="277">
        <f>IF(IF(ISNA(INDEX(СГИ!$P$3:$AI$22,VLOOKUP($P12,СГИ!$N$3:$O$22,2),HLOOKUP(AC$6,СГИ!$P$1:$AI$2,2))),"",INDEX(СГИ!$P$3:$AI$22,VLOOKUP($P12,СГИ!$N$3:$O$22,2),HLOOKUP(AC$6,СГИ!$P$1:$AI$2,2)))=1,CONCATENATE("при измерении ",$P12," ",AC$6," не допускается ! "),"")</f>
      </c>
      <c r="AD12" s="277">
        <f>IF(IF(ISNA(INDEX(СГИ!$P$3:$AI$22,VLOOKUP($P12,СГИ!$N$3:$O$22,2),HLOOKUP(AD$6,СГИ!$P$1:$AI$2,2))),"",INDEX(СГИ!$P$3:$AI$22,VLOOKUP($P12,СГИ!$N$3:$O$22,2),HLOOKUP(AD$6,СГИ!$P$1:$AI$2,2)))=1,CONCATENATE("при измерении ",$P12," ",AD$6," не допускается ! "),"")</f>
      </c>
      <c r="AE12" s="277">
        <f>IF(IF(ISNA(INDEX(СГИ!$P$3:$AI$22,VLOOKUP($P12,СГИ!$N$3:$O$22,2),HLOOKUP(AE$6,СГИ!$P$1:$AI$2,2))),"",INDEX(СГИ!$P$3:$AI$22,VLOOKUP($P12,СГИ!$N$3:$O$22,2),HLOOKUP(AE$6,СГИ!$P$1:$AI$2,2)))=1,CONCATENATE("при измерении ",$P12," ",AE$6," не допускается ! "),"")</f>
      </c>
      <c r="AF12" s="277">
        <f>IF(IF(ISNA(INDEX(СГИ!$P$3:$AI$22,VLOOKUP($P12,СГИ!$N$3:$O$22,2),HLOOKUP(AF$6,СГИ!$P$1:$AI$2,2))),"",INDEX(СГИ!$P$3:$AI$22,VLOOKUP($P12,СГИ!$N$3:$O$22,2),HLOOKUP(AF$6,СГИ!$P$1:$AI$2,2)))=1,CONCATENATE("при измерении ",$P12," ",AF$6," не допускается ! "),"")</f>
      </c>
      <c r="AG12" s="277">
        <f>IF(IF(ISNA(INDEX(СГИ!$P$3:$AI$22,VLOOKUP($P12,СГИ!$N$3:$O$22,2),HLOOKUP(AG$6,СГИ!$P$1:$AI$2,2))),"",INDEX(СГИ!$P$3:$AI$22,VLOOKUP($P12,СГИ!$N$3:$O$22,2),HLOOKUP(AG$6,СГИ!$P$1:$AI$2,2)))=1,CONCATENATE("при измерении ",$P12," ",AG$6," не допускается ! "),"")</f>
      </c>
      <c r="AH12" s="372">
        <f>IF(IF(ISNA(INDEX(СГИ!$P$3:$AI$22,VLOOKUP($P12,СГИ!$N$3:$O$22,2),HLOOKUP(AH$6,СГИ!$P$1:$AI$2,2))),"",INDEX(СГИ!$P$3:$AI$22,VLOOKUP($P12,СГИ!$N$3:$O$22,2),HLOOKUP(AH$6,СГИ!$P$1:$AI$2,2)))=1,CONCATENATE("при измерении ",$P12," ",AH$6," не допускается ! "),"")</f>
      </c>
      <c r="AI12">
        <f t="shared" si="3"/>
      </c>
    </row>
    <row r="13" spans="1:35" ht="23.25" customHeight="1" thickBot="1">
      <c r="A13" s="351"/>
      <c r="B13" s="380"/>
      <c r="C13" s="380"/>
      <c r="D13" s="381" t="s">
        <v>36</v>
      </c>
      <c r="E13" s="368"/>
      <c r="F13" s="369" t="str">
        <f t="shared" si="1"/>
        <v>&lt;- введите данные, где необходимо</v>
      </c>
      <c r="G13"/>
      <c r="H13" s="861" t="s">
        <v>436</v>
      </c>
      <c r="I13" s="862" t="str">
        <f>IF(OR(I7="углеводороды не определяются селективно",I7="превышение числа каналов",I7="данные не введены"),"проверьте ввод данных",IF(AND(MAX(B9:B12)&lt;2,MIN(B9:B12)&gt;-1),MAX(N7:N24)+SUMPRODUCT(K7:K24,ПГ!B$7:B$24)+3000*SIGN(E20+E23)*(K27-(E20+E23))+500*(K8*B9*K9+(K8+K9)*B10*K10+(K8+K9)*B11*E11+(K8+K9)*B12*K12)+N27+IF(NOT(I9="взрывозащита предусмотрена"),0,VLOOKUP(K27,ПГ!$B$27:$C$30,2)),"проверьте ввод данных"))</f>
        <v>проверьте ввод данных</v>
      </c>
      <c r="J13" s="885">
        <f>IF(E13&gt;0,CONCATENATE("-",D13),IF(AND(E24&gt;0,E10&gt;0,E26=1),CONCATENATE("-",D13),""))</f>
      </c>
      <c r="K13" s="341">
        <f>IF(AND(E$26=1,OR(E$13=1,E$24=1)),SIGN(IF(J13="",0,E13)+E10),IF(J13="",0,E13))</f>
        <v>0</v>
      </c>
      <c r="L13" s="364"/>
      <c r="N13" s="371">
        <f>IF(E13&gt;0,ПГ!D13,"")</f>
      </c>
      <c r="P13" s="276">
        <f t="shared" si="0"/>
      </c>
      <c r="Q13" s="277">
        <f>IF(IF(ISNA(INDEX(СГИ!$P$3:$AI$22,VLOOKUP($P13,СГИ!$N$3:$O$22,2),HLOOKUP(Q$6,СГИ!$P$1:$AI$2,2))),"",INDEX(СГИ!$P$3:$AI$22,VLOOKUP($P13,СГИ!$N$3:$O$22,2),HLOOKUP(Q$6,СГИ!$P$1:$AI$2,2)))=1,CONCATENATE("при измерении ",$P13," ",Q$6," не допускается ! "),"")</f>
      </c>
      <c r="R13" s="277">
        <f>IF(IF(ISNA(INDEX(СГИ!$P$3:$AI$22,VLOOKUP($P13,СГИ!$N$3:$O$22,2),HLOOKUP(R$6,СГИ!$P$1:$AI$2,2))),"",INDEX(СГИ!$P$3:$AI$22,VLOOKUP($P13,СГИ!$N$3:$O$22,2),HLOOKUP(R$6,СГИ!$P$1:$AI$2,2)))=1,CONCATENATE("при измерении ",$P13," ",R$6," не допускается ! "),"")</f>
      </c>
      <c r="S13" s="277">
        <f>IF(IF(ISNA(INDEX(СГИ!$P$3:$AI$22,VLOOKUP($P13,СГИ!$N$3:$O$22,2),HLOOKUP(S$6,СГИ!$P$1:$AI$2,2))),"",INDEX(СГИ!$P$3:$AI$22,VLOOKUP($P13,СГИ!$N$3:$O$22,2),HLOOKUP(S$6,СГИ!$P$1:$AI$2,2)))=1,CONCATENATE("при измерении ",$P13," ",S$6," не допускается ! "),"")</f>
      </c>
      <c r="T13" s="277">
        <f>IF(IF(ISNA(INDEX(СГИ!$P$3:$AI$22,VLOOKUP($P13,СГИ!$N$3:$O$22,2),HLOOKUP(T$6,СГИ!$P$1:$AI$2,2))),"",INDEX(СГИ!$P$3:$AI$22,VLOOKUP($P13,СГИ!$N$3:$O$22,2),HLOOKUP(T$6,СГИ!$P$1:$AI$2,2)))=1,CONCATENATE("при измерении ",$P13," ",T$6," не допускается ! "),"")</f>
      </c>
      <c r="U13" s="277">
        <f>IF(IF(ISNA(INDEX(СГИ!$P$3:$AI$22,VLOOKUP($P13,СГИ!$N$3:$O$22,2),HLOOKUP(U$6,СГИ!$P$1:$AI$2,2))),"",INDEX(СГИ!$P$3:$AI$22,VLOOKUP($P13,СГИ!$N$3:$O$22,2),HLOOKUP(U$6,СГИ!$P$1:$AI$2,2)))=1,CONCATENATE("при измерении ",$P13," ",U$6," не допускается ! "),"")</f>
      </c>
      <c r="V13" s="277">
        <f>IF(IF(ISNA(INDEX(СГИ!$P$3:$AI$22,VLOOKUP($P13,СГИ!$N$3:$O$22,2),HLOOKUP(V$6,СГИ!$P$1:$AI$2,2))),"",INDEX(СГИ!$P$3:$AI$22,VLOOKUP($P13,СГИ!$N$3:$O$22,2),HLOOKUP(V$6,СГИ!$P$1:$AI$2,2)))=1,CONCATENATE("при измерении ",$P13," ",V$6," не допускается ! "),"")</f>
      </c>
      <c r="W13" s="277">
        <f>IF(IF(ISNA(INDEX(СГИ!$P$3:$AI$22,VLOOKUP($P13,СГИ!$N$3:$O$22,2),HLOOKUP(W$6,СГИ!$P$1:$AI$2,2))),"",INDEX(СГИ!$P$3:$AI$22,VLOOKUP($P13,СГИ!$N$3:$O$22,2),HLOOKUP(W$6,СГИ!$P$1:$AI$2,2)))=1,CONCATENATE("при измерении ",$P13," ",W$6," не допускается ! "),"")</f>
      </c>
      <c r="X13" s="277">
        <f>IF(IF(ISNA(INDEX(СГИ!$P$3:$AI$22,VLOOKUP($P13,СГИ!$N$3:$O$22,2),HLOOKUP(X$6,СГИ!$P$1:$AI$2,2))),"",INDEX(СГИ!$P$3:$AI$22,VLOOKUP($P13,СГИ!$N$3:$O$22,2),HLOOKUP(X$6,СГИ!$P$1:$AI$2,2)))=1,CONCATENATE("при измерении ",$P13," ",X$6," не допускается ! "),"")</f>
      </c>
      <c r="Y13" s="277">
        <f>IF(IF(ISNA(INDEX(СГИ!$P$3:$AI$22,VLOOKUP($P13,СГИ!$N$3:$O$22,2),HLOOKUP(Y$6,СГИ!$P$1:$AI$2,2))),"",INDEX(СГИ!$P$3:$AI$22,VLOOKUP($P13,СГИ!$N$3:$O$22,2),HLOOKUP(Y$6,СГИ!$P$1:$AI$2,2)))=1,CONCATENATE("при измерении ",$P13," ",Y$6," не допускается ! "),"")</f>
      </c>
      <c r="Z13" s="277">
        <f>IF(IF(ISNA(INDEX(СГИ!$P$3:$AI$22,VLOOKUP($P13,СГИ!$N$3:$O$22,2),HLOOKUP(Z$6,СГИ!$P$1:$AI$2,2))),"",INDEX(СГИ!$P$3:$AI$22,VLOOKUP($P13,СГИ!$N$3:$O$22,2),HLOOKUP(Z$6,СГИ!$P$1:$AI$2,2)))=1,CONCATENATE("при измерении ",$P13," ",Z$6," не допускается ! "),"")</f>
      </c>
      <c r="AA13" s="277">
        <f>IF(IF(ISNA(INDEX(СГИ!$P$3:$AI$22,VLOOKUP($P13,СГИ!$N$3:$O$22,2),HLOOKUP(AA$6,СГИ!$P$1:$AI$2,2))),"",INDEX(СГИ!$P$3:$AI$22,VLOOKUP($P13,СГИ!$N$3:$O$22,2),HLOOKUP(AA$6,СГИ!$P$1:$AI$2,2)))=1,CONCATENATE("при измерении ",$P13," ",AA$6," не допускается ! "),"")</f>
      </c>
      <c r="AB13" s="277">
        <f>IF(IF(ISNA(INDEX(СГИ!$P$3:$AI$22,VLOOKUP($P13,СГИ!$N$3:$O$22,2),HLOOKUP(AB$6,СГИ!$P$1:$AI$2,2))),"",INDEX(СГИ!$P$3:$AI$22,VLOOKUP($P13,СГИ!$N$3:$O$22,2),HLOOKUP(AB$6,СГИ!$P$1:$AI$2,2)))=1,CONCATENATE("при измерении ",$P13," ",AB$6," не допускается ! "),"")</f>
      </c>
      <c r="AC13" s="277">
        <f>IF(IF(ISNA(INDEX(СГИ!$P$3:$AI$22,VLOOKUP($P13,СГИ!$N$3:$O$22,2),HLOOKUP(AC$6,СГИ!$P$1:$AI$2,2))),"",INDEX(СГИ!$P$3:$AI$22,VLOOKUP($P13,СГИ!$N$3:$O$22,2),HLOOKUP(AC$6,СГИ!$P$1:$AI$2,2)))=1,CONCATENATE("при измерении ",$P13," ",AC$6," не допускается ! "),"")</f>
      </c>
      <c r="AD13" s="277">
        <f>IF(IF(ISNA(INDEX(СГИ!$P$3:$AI$22,VLOOKUP($P13,СГИ!$N$3:$O$22,2),HLOOKUP(AD$6,СГИ!$P$1:$AI$2,2))),"",INDEX(СГИ!$P$3:$AI$22,VLOOKUP($P13,СГИ!$N$3:$O$22,2),HLOOKUP(AD$6,СГИ!$P$1:$AI$2,2)))=1,CONCATENATE("при измерении ",$P13," ",AD$6," не допускается ! "),"")</f>
      </c>
      <c r="AE13" s="277">
        <f>IF(IF(ISNA(INDEX(СГИ!$P$3:$AI$22,VLOOKUP($P13,СГИ!$N$3:$O$22,2),HLOOKUP(AE$6,СГИ!$P$1:$AI$2,2))),"",INDEX(СГИ!$P$3:$AI$22,VLOOKUP($P13,СГИ!$N$3:$O$22,2),HLOOKUP(AE$6,СГИ!$P$1:$AI$2,2)))=1,CONCATENATE("при измерении ",$P13," ",AE$6," не допускается ! "),"")</f>
      </c>
      <c r="AF13" s="277">
        <f>IF(IF(ISNA(INDEX(СГИ!$P$3:$AI$22,VLOOKUP($P13,СГИ!$N$3:$O$22,2),HLOOKUP(AF$6,СГИ!$P$1:$AI$2,2))),"",INDEX(СГИ!$P$3:$AI$22,VLOOKUP($P13,СГИ!$N$3:$O$22,2),HLOOKUP(AF$6,СГИ!$P$1:$AI$2,2)))=1,CONCATENATE("при измерении ",$P13," ",AF$6," не допускается ! "),"")</f>
      </c>
      <c r="AG13" s="277">
        <f>IF(IF(ISNA(INDEX(СГИ!$P$3:$AI$22,VLOOKUP($P13,СГИ!$N$3:$O$22,2),HLOOKUP(AG$6,СГИ!$P$1:$AI$2,2))),"",INDEX(СГИ!$P$3:$AI$22,VLOOKUP($P13,СГИ!$N$3:$O$22,2),HLOOKUP(AG$6,СГИ!$P$1:$AI$2,2)))=1,CONCATENATE("при измерении ",$P13," ",AG$6," не допускается ! "),"")</f>
      </c>
      <c r="AH13" s="372">
        <f>IF(IF(ISNA(INDEX(СГИ!$P$3:$AI$22,VLOOKUP($P13,СГИ!$N$3:$O$22,2),HLOOKUP(AH$6,СГИ!$P$1:$AI$2,2))),"",INDEX(СГИ!$P$3:$AI$22,VLOOKUP($P13,СГИ!$N$3:$O$22,2),HLOOKUP(AH$6,СГИ!$P$1:$AI$2,2)))=1,CONCATENATE("при измерении ",$P13," ",AH$6," не допускается ! "),"")</f>
      </c>
      <c r="AI13">
        <f t="shared" si="3"/>
      </c>
    </row>
    <row r="14" spans="1:35" ht="12.75" customHeight="1" thickBot="1">
      <c r="A14" s="351"/>
      <c r="B14" s="380"/>
      <c r="C14" s="380"/>
      <c r="D14" s="332" t="s">
        <v>136</v>
      </c>
      <c r="E14" s="368"/>
      <c r="F14" s="369" t="str">
        <f t="shared" si="1"/>
        <v>&lt;- введите данные, где необходимо</v>
      </c>
      <c r="G14"/>
      <c r="H14" s="863" t="s">
        <v>437</v>
      </c>
      <c r="I14" s="864" t="str">
        <f>IF(I13="проверьте ввод данных","--",SUM(I13:I13)*ПГ!B2)</f>
        <v>--</v>
      </c>
      <c r="J14" s="885">
        <f aca="true" t="shared" si="4" ref="J14:J24">IF($E14=1,CONCATENATE("-",$D14),"")</f>
      </c>
      <c r="K14" s="337">
        <f t="shared" si="2"/>
        <v>0</v>
      </c>
      <c r="L14" s="364"/>
      <c r="N14" s="371">
        <f>IF(E14&gt;0,ПГ!D14,"")</f>
      </c>
      <c r="P14" s="276">
        <f t="shared" si="0"/>
      </c>
      <c r="Q14" s="277">
        <f>IF(IF(ISNA(INDEX(СГИ!$P$3:$AI$22,VLOOKUP($P14,СГИ!$N$3:$O$22,2),HLOOKUP(Q$6,СГИ!$P$1:$AI$2,2))),"",INDEX(СГИ!$P$3:$AI$22,VLOOKUP($P14,СГИ!$N$3:$O$22,2),HLOOKUP(Q$6,СГИ!$P$1:$AI$2,2)))=1,CONCATENATE("при измерении ",$P14," ",Q$6," не допускается ! "),"")</f>
      </c>
      <c r="R14" s="277">
        <f>IF(IF(ISNA(INDEX(СГИ!$P$3:$AI$22,VLOOKUP($P14,СГИ!$N$3:$O$22,2),HLOOKUP(R$6,СГИ!$P$1:$AI$2,2))),"",INDEX(СГИ!$P$3:$AI$22,VLOOKUP($P14,СГИ!$N$3:$O$22,2),HLOOKUP(R$6,СГИ!$P$1:$AI$2,2)))=1,CONCATENATE("при измерении ",$P14," ",R$6," не допускается ! "),"")</f>
      </c>
      <c r="S14" s="277">
        <f>IF(IF(ISNA(INDEX(СГИ!$P$3:$AI$22,VLOOKUP($P14,СГИ!$N$3:$O$22,2),HLOOKUP(S$6,СГИ!$P$1:$AI$2,2))),"",INDEX(СГИ!$P$3:$AI$22,VLOOKUP($P14,СГИ!$N$3:$O$22,2),HLOOKUP(S$6,СГИ!$P$1:$AI$2,2)))=1,CONCATENATE("при измерении ",$P14," ",S$6," не допускается ! "),"")</f>
      </c>
      <c r="T14" s="277">
        <f>IF(IF(ISNA(INDEX(СГИ!$P$3:$AI$22,VLOOKUP($P14,СГИ!$N$3:$O$22,2),HLOOKUP(T$6,СГИ!$P$1:$AI$2,2))),"",INDEX(СГИ!$P$3:$AI$22,VLOOKUP($P14,СГИ!$N$3:$O$22,2),HLOOKUP(T$6,СГИ!$P$1:$AI$2,2)))=1,CONCATENATE("при измерении ",$P14," ",T$6," не допускается ! "),"")</f>
      </c>
      <c r="U14" s="277">
        <f>IF(IF(ISNA(INDEX(СГИ!$P$3:$AI$22,VLOOKUP($P14,СГИ!$N$3:$O$22,2),HLOOKUP(U$6,СГИ!$P$1:$AI$2,2))),"",INDEX(СГИ!$P$3:$AI$22,VLOOKUP($P14,СГИ!$N$3:$O$22,2),HLOOKUP(U$6,СГИ!$P$1:$AI$2,2)))=1,CONCATENATE("при измерении ",$P14," ",U$6," не допускается ! "),"")</f>
      </c>
      <c r="V14" s="277">
        <f>IF(IF(ISNA(INDEX(СГИ!$P$3:$AI$22,VLOOKUP($P14,СГИ!$N$3:$O$22,2),HLOOKUP(V$6,СГИ!$P$1:$AI$2,2))),"",INDEX(СГИ!$P$3:$AI$22,VLOOKUP($P14,СГИ!$N$3:$O$22,2),HLOOKUP(V$6,СГИ!$P$1:$AI$2,2)))=1,CONCATENATE("при измерении ",$P14," ",V$6," не допускается ! "),"")</f>
      </c>
      <c r="W14" s="277">
        <f>IF(IF(ISNA(INDEX(СГИ!$P$3:$AI$22,VLOOKUP($P14,СГИ!$N$3:$O$22,2),HLOOKUP(W$6,СГИ!$P$1:$AI$2,2))),"",INDEX(СГИ!$P$3:$AI$22,VLOOKUP($P14,СГИ!$N$3:$O$22,2),HLOOKUP(W$6,СГИ!$P$1:$AI$2,2)))=1,CONCATENATE("при измерении ",$P14," ",W$6," не допускается ! "),"")</f>
      </c>
      <c r="X14" s="277">
        <f>IF(IF(ISNA(INDEX(СГИ!$P$3:$AI$22,VLOOKUP($P14,СГИ!$N$3:$O$22,2),HLOOKUP(X$6,СГИ!$P$1:$AI$2,2))),"",INDEX(СГИ!$P$3:$AI$22,VLOOKUP($P14,СГИ!$N$3:$O$22,2),HLOOKUP(X$6,СГИ!$P$1:$AI$2,2)))=1,CONCATENATE("при измерении ",$P14," ",X$6," не допускается ! "),"")</f>
      </c>
      <c r="Y14" s="277">
        <f>IF(IF(ISNA(INDEX(СГИ!$P$3:$AI$22,VLOOKUP($P14,СГИ!$N$3:$O$22,2),HLOOKUP(Y$6,СГИ!$P$1:$AI$2,2))),"",INDEX(СГИ!$P$3:$AI$22,VLOOKUP($P14,СГИ!$N$3:$O$22,2),HLOOKUP(Y$6,СГИ!$P$1:$AI$2,2)))=1,CONCATENATE("при измерении ",$P14," ",Y$6," не допускается ! "),"")</f>
      </c>
      <c r="Z14" s="277">
        <f>IF(IF(ISNA(INDEX(СГИ!$P$3:$AI$22,VLOOKUP($P14,СГИ!$N$3:$O$22,2),HLOOKUP(Z$6,СГИ!$P$1:$AI$2,2))),"",INDEX(СГИ!$P$3:$AI$22,VLOOKUP($P14,СГИ!$N$3:$O$22,2),HLOOKUP(Z$6,СГИ!$P$1:$AI$2,2)))=1,CONCATENATE("при измерении ",$P14," ",Z$6," не допускается ! "),"")</f>
      </c>
      <c r="AA14" s="277">
        <f>IF(IF(ISNA(INDEX(СГИ!$P$3:$AI$22,VLOOKUP($P14,СГИ!$N$3:$O$22,2),HLOOKUP(AA$6,СГИ!$P$1:$AI$2,2))),"",INDEX(СГИ!$P$3:$AI$22,VLOOKUP($P14,СГИ!$N$3:$O$22,2),HLOOKUP(AA$6,СГИ!$P$1:$AI$2,2)))=1,CONCATENATE("при измерении ",$P14," ",AA$6," не допускается ! "),"")</f>
      </c>
      <c r="AB14" s="277">
        <f>IF(IF(ISNA(INDEX(СГИ!$P$3:$AI$22,VLOOKUP($P14,СГИ!$N$3:$O$22,2),HLOOKUP(AB$6,СГИ!$P$1:$AI$2,2))),"",INDEX(СГИ!$P$3:$AI$22,VLOOKUP($P14,СГИ!$N$3:$O$22,2),HLOOKUP(AB$6,СГИ!$P$1:$AI$2,2)))=1,CONCATENATE("при измерении ",$P14," ",AB$6," не допускается ! "),"")</f>
      </c>
      <c r="AC14" s="277">
        <f>IF(IF(ISNA(INDEX(СГИ!$P$3:$AI$22,VLOOKUP($P14,СГИ!$N$3:$O$22,2),HLOOKUP(AC$6,СГИ!$P$1:$AI$2,2))),"",INDEX(СГИ!$P$3:$AI$22,VLOOKUP($P14,СГИ!$N$3:$O$22,2),HLOOKUP(AC$6,СГИ!$P$1:$AI$2,2)))=1,CONCATENATE("при измерении ",$P14," ",AC$6," не допускается ! "),"")</f>
      </c>
      <c r="AD14" s="277">
        <f>IF(IF(ISNA(INDEX(СГИ!$P$3:$AI$22,VLOOKUP($P14,СГИ!$N$3:$O$22,2),HLOOKUP(AD$6,СГИ!$P$1:$AI$2,2))),"",INDEX(СГИ!$P$3:$AI$22,VLOOKUP($P14,СГИ!$N$3:$O$22,2),HLOOKUP(AD$6,СГИ!$P$1:$AI$2,2)))=1,CONCATENATE("при измерении ",$P14," ",AD$6," не допускается ! "),"")</f>
      </c>
      <c r="AE14" s="277">
        <f>IF(IF(ISNA(INDEX(СГИ!$P$3:$AI$22,VLOOKUP($P14,СГИ!$N$3:$O$22,2),HLOOKUP(AE$6,СГИ!$P$1:$AI$2,2))),"",INDEX(СГИ!$P$3:$AI$22,VLOOKUP($P14,СГИ!$N$3:$O$22,2),HLOOKUP(AE$6,СГИ!$P$1:$AI$2,2)))=1,CONCATENATE("при измерении ",$P14," ",AE$6," не допускается ! "),"")</f>
      </c>
      <c r="AF14" s="277">
        <f>IF(IF(ISNA(INDEX(СГИ!$P$3:$AI$22,VLOOKUP($P14,СГИ!$N$3:$O$22,2),HLOOKUP(AF$6,СГИ!$P$1:$AI$2,2))),"",INDEX(СГИ!$P$3:$AI$22,VLOOKUP($P14,СГИ!$N$3:$O$22,2),HLOOKUP(AF$6,СГИ!$P$1:$AI$2,2)))=1,CONCATENATE("при измерении ",$P14," ",AF$6," не допускается ! "),"")</f>
      </c>
      <c r="AG14" s="277">
        <f>IF(IF(ISNA(INDEX(СГИ!$P$3:$AI$22,VLOOKUP($P14,СГИ!$N$3:$O$22,2),HLOOKUP(AG$6,СГИ!$P$1:$AI$2,2))),"",INDEX(СГИ!$P$3:$AI$22,VLOOKUP($P14,СГИ!$N$3:$O$22,2),HLOOKUP(AG$6,СГИ!$P$1:$AI$2,2)))=1,CONCATENATE("при измерении ",$P14," ",AG$6," не допускается ! "),"")</f>
      </c>
      <c r="AH14" s="372">
        <f>IF(IF(ISNA(INDEX(СГИ!$P$3:$AI$22,VLOOKUP($P14,СГИ!$N$3:$O$22,2),HLOOKUP(AH$6,СГИ!$P$1:$AI$2,2))),"",INDEX(СГИ!$P$3:$AI$22,VLOOKUP($P14,СГИ!$N$3:$O$22,2),HLOOKUP(AH$6,СГИ!$P$1:$AI$2,2)))=1,CONCATENATE("при измерении ",$P14," ",AH$6," не допускается ! "),"")</f>
      </c>
      <c r="AI14">
        <f t="shared" si="3"/>
      </c>
    </row>
    <row r="15" spans="1:35" ht="12.75" customHeight="1">
      <c r="A15" s="351"/>
      <c r="B15" s="380"/>
      <c r="C15" s="380"/>
      <c r="D15" s="332" t="s">
        <v>391</v>
      </c>
      <c r="E15" s="368"/>
      <c r="F15" s="369" t="str">
        <f t="shared" si="1"/>
        <v>&lt;- введите данные, где необходимо</v>
      </c>
      <c r="G15"/>
      <c r="H15" s="865" t="s">
        <v>394</v>
      </c>
      <c r="I15" s="866" t="str">
        <f>IF(I13="проверьте ввод данных","--",SUM(I13:I14))</f>
        <v>--</v>
      </c>
      <c r="J15" s="885">
        <f t="shared" si="4"/>
      </c>
      <c r="K15" s="337">
        <f t="shared" si="2"/>
        <v>0</v>
      </c>
      <c r="L15" s="364"/>
      <c r="N15" s="371">
        <f>IF(E15&gt;0,ПГ!D15,"")</f>
      </c>
      <c r="P15" s="276">
        <f t="shared" si="0"/>
      </c>
      <c r="Q15" s="277">
        <f>IF(IF(ISNA(INDEX(СГИ!$P$3:$AI$22,VLOOKUP($P15,СГИ!$N$3:$O$22,2),HLOOKUP(Q$6,СГИ!$P$1:$AI$2,2))),"",INDEX(СГИ!$P$3:$AI$22,VLOOKUP($P15,СГИ!$N$3:$O$22,2),HLOOKUP(Q$6,СГИ!$P$1:$AI$2,2)))=1,CONCATENATE("при измерении ",$P15," ",Q$6," не допускается ! "),"")</f>
      </c>
      <c r="R15" s="277">
        <f>IF(IF(ISNA(INDEX(СГИ!$P$3:$AI$22,VLOOKUP($P15,СГИ!$N$3:$O$22,2),HLOOKUP(R$6,СГИ!$P$1:$AI$2,2))),"",INDEX(СГИ!$P$3:$AI$22,VLOOKUP($P15,СГИ!$N$3:$O$22,2),HLOOKUP(R$6,СГИ!$P$1:$AI$2,2)))=1,CONCATENATE("при измерении ",$P15," ",R$6," не допускается ! "),"")</f>
      </c>
      <c r="S15" s="277">
        <f>IF(IF(ISNA(INDEX(СГИ!$P$3:$AI$22,VLOOKUP($P15,СГИ!$N$3:$O$22,2),HLOOKUP(S$6,СГИ!$P$1:$AI$2,2))),"",INDEX(СГИ!$P$3:$AI$22,VLOOKUP($P15,СГИ!$N$3:$O$22,2),HLOOKUP(S$6,СГИ!$P$1:$AI$2,2)))=1,CONCATENATE("при измерении ",$P15," ",S$6," не допускается ! "),"")</f>
      </c>
      <c r="T15" s="277">
        <f>IF(IF(ISNA(INDEX(СГИ!$P$3:$AI$22,VLOOKUP($P15,СГИ!$N$3:$O$22,2),HLOOKUP(T$6,СГИ!$P$1:$AI$2,2))),"",INDEX(СГИ!$P$3:$AI$22,VLOOKUP($P15,СГИ!$N$3:$O$22,2),HLOOKUP(T$6,СГИ!$P$1:$AI$2,2)))=1,CONCATENATE("при измерении ",$P15," ",T$6," не допускается ! "),"")</f>
      </c>
      <c r="U15" s="277">
        <f>IF(IF(ISNA(INDEX(СГИ!$P$3:$AI$22,VLOOKUP($P15,СГИ!$N$3:$O$22,2),HLOOKUP(U$6,СГИ!$P$1:$AI$2,2))),"",INDEX(СГИ!$P$3:$AI$22,VLOOKUP($P15,СГИ!$N$3:$O$22,2),HLOOKUP(U$6,СГИ!$P$1:$AI$2,2)))=1,CONCATENATE("при измерении ",$P15," ",U$6," не допускается ! "),"")</f>
      </c>
      <c r="V15" s="277">
        <f>IF(IF(ISNA(INDEX(СГИ!$P$3:$AI$22,VLOOKUP($P15,СГИ!$N$3:$O$22,2),HLOOKUP(V$6,СГИ!$P$1:$AI$2,2))),"",INDEX(СГИ!$P$3:$AI$22,VLOOKUP($P15,СГИ!$N$3:$O$22,2),HLOOKUP(V$6,СГИ!$P$1:$AI$2,2)))=1,CONCATENATE("при измерении ",$P15," ",V$6," не допускается ! "),"")</f>
      </c>
      <c r="W15" s="277">
        <f>IF(IF(ISNA(INDEX(СГИ!$P$3:$AI$22,VLOOKUP($P15,СГИ!$N$3:$O$22,2),HLOOKUP(W$6,СГИ!$P$1:$AI$2,2))),"",INDEX(СГИ!$P$3:$AI$22,VLOOKUP($P15,СГИ!$N$3:$O$22,2),HLOOKUP(W$6,СГИ!$P$1:$AI$2,2)))=1,CONCATENATE("при измерении ",$P15," ",W$6," не допускается ! "),"")</f>
      </c>
      <c r="X15" s="277">
        <f>IF(IF(ISNA(INDEX(СГИ!$P$3:$AI$22,VLOOKUP($P15,СГИ!$N$3:$O$22,2),HLOOKUP(X$6,СГИ!$P$1:$AI$2,2))),"",INDEX(СГИ!$P$3:$AI$22,VLOOKUP($P15,СГИ!$N$3:$O$22,2),HLOOKUP(X$6,СГИ!$P$1:$AI$2,2)))=1,CONCATENATE("при измерении ",$P15," ",X$6," не допускается ! "),"")</f>
      </c>
      <c r="Y15" s="277">
        <f>IF(IF(ISNA(INDEX(СГИ!$P$3:$AI$22,VLOOKUP($P15,СГИ!$N$3:$O$22,2),HLOOKUP(Y$6,СГИ!$P$1:$AI$2,2))),"",INDEX(СГИ!$P$3:$AI$22,VLOOKUP($P15,СГИ!$N$3:$O$22,2),HLOOKUP(Y$6,СГИ!$P$1:$AI$2,2)))=1,CONCATENATE("при измерении ",$P15," ",Y$6," не допускается ! "),"")</f>
      </c>
      <c r="Z15" s="277">
        <f>IF(IF(ISNA(INDEX(СГИ!$P$3:$AI$22,VLOOKUP($P15,СГИ!$N$3:$O$22,2),HLOOKUP(Z$6,СГИ!$P$1:$AI$2,2))),"",INDEX(СГИ!$P$3:$AI$22,VLOOKUP($P15,СГИ!$N$3:$O$22,2),HLOOKUP(Z$6,СГИ!$P$1:$AI$2,2)))=1,CONCATENATE("при измерении ",$P15," ",Z$6," не допускается ! "),"")</f>
      </c>
      <c r="AA15" s="277">
        <f>IF(IF(ISNA(INDEX(СГИ!$P$3:$AI$22,VLOOKUP($P15,СГИ!$N$3:$O$22,2),HLOOKUP(AA$6,СГИ!$P$1:$AI$2,2))),"",INDEX(СГИ!$P$3:$AI$22,VLOOKUP($P15,СГИ!$N$3:$O$22,2),HLOOKUP(AA$6,СГИ!$P$1:$AI$2,2)))=1,CONCATENATE("при измерении ",$P15," ",AA$6," не допускается ! "),"")</f>
      </c>
      <c r="AB15" s="277">
        <f>IF(IF(ISNA(INDEX(СГИ!$P$3:$AI$22,VLOOKUP($P15,СГИ!$N$3:$O$22,2),HLOOKUP(AB$6,СГИ!$P$1:$AI$2,2))),"",INDEX(СГИ!$P$3:$AI$22,VLOOKUP($P15,СГИ!$N$3:$O$22,2),HLOOKUP(AB$6,СГИ!$P$1:$AI$2,2)))=1,CONCATENATE("при измерении ",$P15," ",AB$6," не допускается ! "),"")</f>
      </c>
      <c r="AC15" s="277">
        <f>IF(IF(ISNA(INDEX(СГИ!$P$3:$AI$22,VLOOKUP($P15,СГИ!$N$3:$O$22,2),HLOOKUP(AC$6,СГИ!$P$1:$AI$2,2))),"",INDEX(СГИ!$P$3:$AI$22,VLOOKUP($P15,СГИ!$N$3:$O$22,2),HLOOKUP(AC$6,СГИ!$P$1:$AI$2,2)))=1,CONCATENATE("при измерении ",$P15," ",AC$6," не допускается ! "),"")</f>
      </c>
      <c r="AD15" s="277">
        <f>IF(IF(ISNA(INDEX(СГИ!$P$3:$AI$22,VLOOKUP($P15,СГИ!$N$3:$O$22,2),HLOOKUP(AD$6,СГИ!$P$1:$AI$2,2))),"",INDEX(СГИ!$P$3:$AI$22,VLOOKUP($P15,СГИ!$N$3:$O$22,2),HLOOKUP(AD$6,СГИ!$P$1:$AI$2,2)))=1,CONCATENATE("при измерении ",$P15," ",AD$6," не допускается ! "),"")</f>
      </c>
      <c r="AE15" s="277">
        <f>IF(IF(ISNA(INDEX(СГИ!$P$3:$AI$22,VLOOKUP($P15,СГИ!$N$3:$O$22,2),HLOOKUP(AE$6,СГИ!$P$1:$AI$2,2))),"",INDEX(СГИ!$P$3:$AI$22,VLOOKUP($P15,СГИ!$N$3:$O$22,2),HLOOKUP(AE$6,СГИ!$P$1:$AI$2,2)))=1,CONCATENATE("при измерении ",$P15," ",AE$6," не допускается ! "),"")</f>
      </c>
      <c r="AF15" s="277">
        <f>IF(IF(ISNA(INDEX(СГИ!$P$3:$AI$22,VLOOKUP($P15,СГИ!$N$3:$O$22,2),HLOOKUP(AF$6,СГИ!$P$1:$AI$2,2))),"",INDEX(СГИ!$P$3:$AI$22,VLOOKUP($P15,СГИ!$N$3:$O$22,2),HLOOKUP(AF$6,СГИ!$P$1:$AI$2,2)))=1,CONCATENATE("при измерении ",$P15," ",AF$6," не допускается ! "),"")</f>
      </c>
      <c r="AG15" s="277">
        <f>IF(IF(ISNA(INDEX(СГИ!$P$3:$AI$22,VLOOKUP($P15,СГИ!$N$3:$O$22,2),HLOOKUP(AG$6,СГИ!$P$1:$AI$2,2))),"",INDEX(СГИ!$P$3:$AI$22,VLOOKUP($P15,СГИ!$N$3:$O$22,2),HLOOKUP(AG$6,СГИ!$P$1:$AI$2,2)))=1,CONCATENATE("при измерении ",$P15," ",AG$6," не допускается ! "),"")</f>
      </c>
      <c r="AH15" s="372">
        <f>IF(IF(ISNA(INDEX(СГИ!$P$3:$AI$22,VLOOKUP($P15,СГИ!$N$3:$O$22,2),HLOOKUP(AH$6,СГИ!$P$1:$AI$2,2))),"",INDEX(СГИ!$P$3:$AI$22,VLOOKUP($P15,СГИ!$N$3:$O$22,2),HLOOKUP(AH$6,СГИ!$P$1:$AI$2,2)))=1,CONCATENATE("при измерении ",$P15," ",AH$6," не допускается ! "),"")</f>
      </c>
      <c r="AI15">
        <f t="shared" si="3"/>
      </c>
    </row>
    <row r="16" spans="1:35" ht="12.75" customHeight="1">
      <c r="A16" s="351"/>
      <c r="B16" s="380"/>
      <c r="C16" s="380"/>
      <c r="D16" s="332" t="s">
        <v>393</v>
      </c>
      <c r="E16" s="368"/>
      <c r="F16" s="369" t="str">
        <f t="shared" si="1"/>
        <v>&lt;- введите данные, где необходимо</v>
      </c>
      <c r="G16"/>
      <c r="H16" s="867"/>
      <c r="I16" s="868"/>
      <c r="J16" s="885">
        <f t="shared" si="4"/>
      </c>
      <c r="K16" s="337">
        <f t="shared" si="2"/>
        <v>0</v>
      </c>
      <c r="L16" s="364"/>
      <c r="N16" s="371">
        <f>IF(E16&gt;0,ПГ!D16,"")</f>
      </c>
      <c r="P16" s="276">
        <f t="shared" si="0"/>
      </c>
      <c r="Q16" s="277">
        <f>IF(IF(ISNA(INDEX(СГИ!$P$3:$AI$22,VLOOKUP($P16,СГИ!$N$3:$O$22,2),HLOOKUP(Q$6,СГИ!$P$1:$AI$2,2))),"",INDEX(СГИ!$P$3:$AI$22,VLOOKUP($P16,СГИ!$N$3:$O$22,2),HLOOKUP(Q$6,СГИ!$P$1:$AI$2,2)))=1,CONCATENATE("при измерении ",$P16," ",Q$6," не допускается ! "),"")</f>
      </c>
      <c r="R16" s="277">
        <f>IF(IF(ISNA(INDEX(СГИ!$P$3:$AI$22,VLOOKUP($P16,СГИ!$N$3:$O$22,2),HLOOKUP(R$6,СГИ!$P$1:$AI$2,2))),"",INDEX(СГИ!$P$3:$AI$22,VLOOKUP($P16,СГИ!$N$3:$O$22,2),HLOOKUP(R$6,СГИ!$P$1:$AI$2,2)))=1,CONCATENATE("при измерении ",$P16," ",R$6," не допускается ! "),"")</f>
      </c>
      <c r="S16" s="277">
        <f>IF(IF(ISNA(INDEX(СГИ!$P$3:$AI$22,VLOOKUP($P16,СГИ!$N$3:$O$22,2),HLOOKUP(S$6,СГИ!$P$1:$AI$2,2))),"",INDEX(СГИ!$P$3:$AI$22,VLOOKUP($P16,СГИ!$N$3:$O$22,2),HLOOKUP(S$6,СГИ!$P$1:$AI$2,2)))=1,CONCATENATE("при измерении ",$P16," ",S$6," не допускается ! "),"")</f>
      </c>
      <c r="T16" s="277">
        <f>IF(IF(ISNA(INDEX(СГИ!$P$3:$AI$22,VLOOKUP($P16,СГИ!$N$3:$O$22,2),HLOOKUP(T$6,СГИ!$P$1:$AI$2,2))),"",INDEX(СГИ!$P$3:$AI$22,VLOOKUP($P16,СГИ!$N$3:$O$22,2),HLOOKUP(T$6,СГИ!$P$1:$AI$2,2)))=1,CONCATENATE("при измерении ",$P16," ",T$6," не допускается ! "),"")</f>
      </c>
      <c r="U16" s="277">
        <f>IF(IF(ISNA(INDEX(СГИ!$P$3:$AI$22,VLOOKUP($P16,СГИ!$N$3:$O$22,2),HLOOKUP(U$6,СГИ!$P$1:$AI$2,2))),"",INDEX(СГИ!$P$3:$AI$22,VLOOKUP($P16,СГИ!$N$3:$O$22,2),HLOOKUP(U$6,СГИ!$P$1:$AI$2,2)))=1,CONCATENATE("при измерении ",$P16," ",U$6," не допускается ! "),"")</f>
      </c>
      <c r="V16" s="277">
        <f>IF(IF(ISNA(INDEX(СГИ!$P$3:$AI$22,VLOOKUP($P16,СГИ!$N$3:$O$22,2),HLOOKUP(V$6,СГИ!$P$1:$AI$2,2))),"",INDEX(СГИ!$P$3:$AI$22,VLOOKUP($P16,СГИ!$N$3:$O$22,2),HLOOKUP(V$6,СГИ!$P$1:$AI$2,2)))=1,CONCATENATE("при измерении ",$P16," ",V$6," не допускается ! "),"")</f>
      </c>
      <c r="W16" s="277">
        <f>IF(IF(ISNA(INDEX(СГИ!$P$3:$AI$22,VLOOKUP($P16,СГИ!$N$3:$O$22,2),HLOOKUP(W$6,СГИ!$P$1:$AI$2,2))),"",INDEX(СГИ!$P$3:$AI$22,VLOOKUP($P16,СГИ!$N$3:$O$22,2),HLOOKUP(W$6,СГИ!$P$1:$AI$2,2)))=1,CONCATENATE("при измерении ",$P16," ",W$6," не допускается ! "),"")</f>
      </c>
      <c r="X16" s="277">
        <f>IF(IF(ISNA(INDEX(СГИ!$P$3:$AI$22,VLOOKUP($P16,СГИ!$N$3:$O$22,2),HLOOKUP(X$6,СГИ!$P$1:$AI$2,2))),"",INDEX(СГИ!$P$3:$AI$22,VLOOKUP($P16,СГИ!$N$3:$O$22,2),HLOOKUP(X$6,СГИ!$P$1:$AI$2,2)))=1,CONCATENATE("при измерении ",$P16," ",X$6," не допускается ! "),"")</f>
      </c>
      <c r="Y16" s="277">
        <f>IF(IF(ISNA(INDEX(СГИ!$P$3:$AI$22,VLOOKUP($P16,СГИ!$N$3:$O$22,2),HLOOKUP(Y$6,СГИ!$P$1:$AI$2,2))),"",INDEX(СГИ!$P$3:$AI$22,VLOOKUP($P16,СГИ!$N$3:$O$22,2),HLOOKUP(Y$6,СГИ!$P$1:$AI$2,2)))=1,CONCATENATE("при измерении ",$P16," ",Y$6," не допускается ! "),"")</f>
      </c>
      <c r="Z16" s="277">
        <f>IF(IF(ISNA(INDEX(СГИ!$P$3:$AI$22,VLOOKUP($P16,СГИ!$N$3:$O$22,2),HLOOKUP(Z$6,СГИ!$P$1:$AI$2,2))),"",INDEX(СГИ!$P$3:$AI$22,VLOOKUP($P16,СГИ!$N$3:$O$22,2),HLOOKUP(Z$6,СГИ!$P$1:$AI$2,2)))=1,CONCATENATE("при измерении ",$P16," ",Z$6," не допускается ! "),"")</f>
      </c>
      <c r="AA16" s="277">
        <f>IF(IF(ISNA(INDEX(СГИ!$P$3:$AI$22,VLOOKUP($P16,СГИ!$N$3:$O$22,2),HLOOKUP(AA$6,СГИ!$P$1:$AI$2,2))),"",INDEX(СГИ!$P$3:$AI$22,VLOOKUP($P16,СГИ!$N$3:$O$22,2),HLOOKUP(AA$6,СГИ!$P$1:$AI$2,2)))=1,CONCATENATE("при измерении ",$P16," ",AA$6," не допускается ! "),"")</f>
      </c>
      <c r="AB16" s="277">
        <f>IF(IF(ISNA(INDEX(СГИ!$P$3:$AI$22,VLOOKUP($P16,СГИ!$N$3:$O$22,2),HLOOKUP(AB$6,СГИ!$P$1:$AI$2,2))),"",INDEX(СГИ!$P$3:$AI$22,VLOOKUP($P16,СГИ!$N$3:$O$22,2),HLOOKUP(AB$6,СГИ!$P$1:$AI$2,2)))=1,CONCATENATE("при измерении ",$P16," ",AB$6," не допускается ! "),"")</f>
      </c>
      <c r="AC16" s="277">
        <f>IF(IF(ISNA(INDEX(СГИ!$P$3:$AI$22,VLOOKUP($P16,СГИ!$N$3:$O$22,2),HLOOKUP(AC$6,СГИ!$P$1:$AI$2,2))),"",INDEX(СГИ!$P$3:$AI$22,VLOOKUP($P16,СГИ!$N$3:$O$22,2),HLOOKUP(AC$6,СГИ!$P$1:$AI$2,2)))=1,CONCATENATE("при измерении ",$P16," ",AC$6," не допускается ! "),"")</f>
      </c>
      <c r="AD16" s="277">
        <f>IF(IF(ISNA(INDEX(СГИ!$P$3:$AI$22,VLOOKUP($P16,СГИ!$N$3:$O$22,2),HLOOKUP(AD$6,СГИ!$P$1:$AI$2,2))),"",INDEX(СГИ!$P$3:$AI$22,VLOOKUP($P16,СГИ!$N$3:$O$22,2),HLOOKUP(AD$6,СГИ!$P$1:$AI$2,2)))=1,CONCATENATE("при измерении ",$P16," ",AD$6," не допускается ! "),"")</f>
      </c>
      <c r="AE16" s="277">
        <f>IF(IF(ISNA(INDEX(СГИ!$P$3:$AI$22,VLOOKUP($P16,СГИ!$N$3:$O$22,2),HLOOKUP(AE$6,СГИ!$P$1:$AI$2,2))),"",INDEX(СГИ!$P$3:$AI$22,VLOOKUP($P16,СГИ!$N$3:$O$22,2),HLOOKUP(AE$6,СГИ!$P$1:$AI$2,2)))=1,CONCATENATE("при измерении ",$P16," ",AE$6," не допускается ! "),"")</f>
      </c>
      <c r="AF16" s="277">
        <f>IF(IF(ISNA(INDEX(СГИ!$P$3:$AI$22,VLOOKUP($P16,СГИ!$N$3:$O$22,2),HLOOKUP(AF$6,СГИ!$P$1:$AI$2,2))),"",INDEX(СГИ!$P$3:$AI$22,VLOOKUP($P16,СГИ!$N$3:$O$22,2),HLOOKUP(AF$6,СГИ!$P$1:$AI$2,2)))=1,CONCATENATE("при измерении ",$P16," ",AF$6," не допускается ! "),"")</f>
      </c>
      <c r="AG16" s="277">
        <f>IF(IF(ISNA(INDEX(СГИ!$P$3:$AI$22,VLOOKUP($P16,СГИ!$N$3:$O$22,2),HLOOKUP(AG$6,СГИ!$P$1:$AI$2,2))),"",INDEX(СГИ!$P$3:$AI$22,VLOOKUP($P16,СГИ!$N$3:$O$22,2),HLOOKUP(AG$6,СГИ!$P$1:$AI$2,2)))=1,CONCATENATE("при измерении ",$P16," ",AG$6," не допускается ! "),"")</f>
      </c>
      <c r="AH16" s="372">
        <f>IF(IF(ISNA(INDEX(СГИ!$P$3:$AI$22,VLOOKUP($P16,СГИ!$N$3:$O$22,2),HLOOKUP(AH$6,СГИ!$P$1:$AI$2,2))),"",INDEX(СГИ!$P$3:$AI$22,VLOOKUP($P16,СГИ!$N$3:$O$22,2),HLOOKUP(AH$6,СГИ!$P$1:$AI$2,2)))=1,CONCATENATE("при измерении ",$P16," ",AH$6," не допускается ! "),"")</f>
      </c>
      <c r="AI16">
        <f t="shared" si="3"/>
      </c>
    </row>
    <row r="17" spans="1:35" ht="12.75" customHeight="1">
      <c r="A17" s="351"/>
      <c r="B17" s="380"/>
      <c r="C17" s="382"/>
      <c r="D17" s="332" t="s">
        <v>395</v>
      </c>
      <c r="E17" s="368"/>
      <c r="F17" s="369" t="str">
        <f t="shared" si="1"/>
        <v>&lt;- введите данные, где необходимо</v>
      </c>
      <c r="G17"/>
      <c r="H17" s="880"/>
      <c r="I17" s="870" t="s">
        <v>438</v>
      </c>
      <c r="J17" s="885">
        <f t="shared" si="4"/>
      </c>
      <c r="K17" s="337">
        <f t="shared" si="2"/>
        <v>0</v>
      </c>
      <c r="L17" s="364"/>
      <c r="N17" s="371">
        <f>IF(E17&gt;0,ПГ!D17,"")</f>
      </c>
      <c r="P17" s="276">
        <f t="shared" si="0"/>
      </c>
      <c r="Q17" s="277">
        <f>IF(IF(ISNA(INDEX(СГИ!$P$3:$AI$22,VLOOKUP($P17,СГИ!$N$3:$O$22,2),HLOOKUP(Q$6,СГИ!$P$1:$AI$2,2))),"",INDEX(СГИ!$P$3:$AI$22,VLOOKUP($P17,СГИ!$N$3:$O$22,2),HLOOKUP(Q$6,СГИ!$P$1:$AI$2,2)))=1,CONCATENATE("при измерении ",$P17," ",Q$6," не допускается ! "),"")</f>
      </c>
      <c r="R17" s="277">
        <f>IF(IF(ISNA(INDEX(СГИ!$P$3:$AI$22,VLOOKUP($P17,СГИ!$N$3:$O$22,2),HLOOKUP(R$6,СГИ!$P$1:$AI$2,2))),"",INDEX(СГИ!$P$3:$AI$22,VLOOKUP($P17,СГИ!$N$3:$O$22,2),HLOOKUP(R$6,СГИ!$P$1:$AI$2,2)))=1,CONCATENATE("при измерении ",$P17," ",R$6," не допускается ! "),"")</f>
      </c>
      <c r="S17" s="277">
        <f>IF(IF(ISNA(INDEX(СГИ!$P$3:$AI$22,VLOOKUP($P17,СГИ!$N$3:$O$22,2),HLOOKUP(S$6,СГИ!$P$1:$AI$2,2))),"",INDEX(СГИ!$P$3:$AI$22,VLOOKUP($P17,СГИ!$N$3:$O$22,2),HLOOKUP(S$6,СГИ!$P$1:$AI$2,2)))=1,CONCATENATE("при измерении ",$P17," ",S$6," не допускается ! "),"")</f>
      </c>
      <c r="T17" s="277">
        <f>IF(IF(ISNA(INDEX(СГИ!$P$3:$AI$22,VLOOKUP($P17,СГИ!$N$3:$O$22,2),HLOOKUP(T$6,СГИ!$P$1:$AI$2,2))),"",INDEX(СГИ!$P$3:$AI$22,VLOOKUP($P17,СГИ!$N$3:$O$22,2),HLOOKUP(T$6,СГИ!$P$1:$AI$2,2)))=1,CONCATENATE("при измерении ",$P17," ",T$6," не допускается ! "),"")</f>
      </c>
      <c r="U17" s="277">
        <f>IF(IF(ISNA(INDEX(СГИ!$P$3:$AI$22,VLOOKUP($P17,СГИ!$N$3:$O$22,2),HLOOKUP(U$6,СГИ!$P$1:$AI$2,2))),"",INDEX(СГИ!$P$3:$AI$22,VLOOKUP($P17,СГИ!$N$3:$O$22,2),HLOOKUP(U$6,СГИ!$P$1:$AI$2,2)))=1,CONCATENATE("при измерении ",$P17," ",U$6," не допускается ! "),"")</f>
      </c>
      <c r="V17" s="277">
        <f>IF(IF(ISNA(INDEX(СГИ!$P$3:$AI$22,VLOOKUP($P17,СГИ!$N$3:$O$22,2),HLOOKUP(V$6,СГИ!$P$1:$AI$2,2))),"",INDEX(СГИ!$P$3:$AI$22,VLOOKUP($P17,СГИ!$N$3:$O$22,2),HLOOKUP(V$6,СГИ!$P$1:$AI$2,2)))=1,CONCATENATE("при измерении ",$P17," ",V$6," не допускается ! "),"")</f>
      </c>
      <c r="W17" s="277">
        <f>IF(IF(ISNA(INDEX(СГИ!$P$3:$AI$22,VLOOKUP($P17,СГИ!$N$3:$O$22,2),HLOOKUP(W$6,СГИ!$P$1:$AI$2,2))),"",INDEX(СГИ!$P$3:$AI$22,VLOOKUP($P17,СГИ!$N$3:$O$22,2),HLOOKUP(W$6,СГИ!$P$1:$AI$2,2)))=1,CONCATENATE("при измерении ",$P17," ",W$6," не допускается ! "),"")</f>
      </c>
      <c r="X17" s="277">
        <f>IF(IF(ISNA(INDEX(СГИ!$P$3:$AI$22,VLOOKUP($P17,СГИ!$N$3:$O$22,2),HLOOKUP(X$6,СГИ!$P$1:$AI$2,2))),"",INDEX(СГИ!$P$3:$AI$22,VLOOKUP($P17,СГИ!$N$3:$O$22,2),HLOOKUP(X$6,СГИ!$P$1:$AI$2,2)))=1,CONCATENATE("при измерении ",$P17," ",X$6," не допускается ! "),"")</f>
      </c>
      <c r="Y17" s="277">
        <f>IF(IF(ISNA(INDEX(СГИ!$P$3:$AI$22,VLOOKUP($P17,СГИ!$N$3:$O$22,2),HLOOKUP(Y$6,СГИ!$P$1:$AI$2,2))),"",INDEX(СГИ!$P$3:$AI$22,VLOOKUP($P17,СГИ!$N$3:$O$22,2),HLOOKUP(Y$6,СГИ!$P$1:$AI$2,2)))=1,CONCATENATE("при измерении ",$P17," ",Y$6," не допускается ! "),"")</f>
      </c>
      <c r="Z17" s="277">
        <f>IF(IF(ISNA(INDEX(СГИ!$P$3:$AI$22,VLOOKUP($P17,СГИ!$N$3:$O$22,2),HLOOKUP(Z$6,СГИ!$P$1:$AI$2,2))),"",INDEX(СГИ!$P$3:$AI$22,VLOOKUP($P17,СГИ!$N$3:$O$22,2),HLOOKUP(Z$6,СГИ!$P$1:$AI$2,2)))=1,CONCATENATE("при измерении ",$P17," ",Z$6," не допускается ! "),"")</f>
      </c>
      <c r="AA17" s="277">
        <f>IF(IF(ISNA(INDEX(СГИ!$P$3:$AI$22,VLOOKUP($P17,СГИ!$N$3:$O$22,2),HLOOKUP(AA$6,СГИ!$P$1:$AI$2,2))),"",INDEX(СГИ!$P$3:$AI$22,VLOOKUP($P17,СГИ!$N$3:$O$22,2),HLOOKUP(AA$6,СГИ!$P$1:$AI$2,2)))=1,CONCATENATE("при измерении ",$P17," ",AA$6," не допускается ! "),"")</f>
      </c>
      <c r="AB17" s="277">
        <f>IF(IF(ISNA(INDEX(СГИ!$P$3:$AI$22,VLOOKUP($P17,СГИ!$N$3:$O$22,2),HLOOKUP(AB$6,СГИ!$P$1:$AI$2,2))),"",INDEX(СГИ!$P$3:$AI$22,VLOOKUP($P17,СГИ!$N$3:$O$22,2),HLOOKUP(AB$6,СГИ!$P$1:$AI$2,2)))=1,CONCATENATE("при измерении ",$P17," ",AB$6," не допускается ! "),"")</f>
      </c>
      <c r="AC17" s="277">
        <f>IF(IF(ISNA(INDEX(СГИ!$P$3:$AI$22,VLOOKUP($P17,СГИ!$N$3:$O$22,2),HLOOKUP(AC$6,СГИ!$P$1:$AI$2,2))),"",INDEX(СГИ!$P$3:$AI$22,VLOOKUP($P17,СГИ!$N$3:$O$22,2),HLOOKUP(AC$6,СГИ!$P$1:$AI$2,2)))=1,CONCATENATE("при измерении ",$P17," ",AC$6," не допускается ! "),"")</f>
      </c>
      <c r="AD17" s="277">
        <f>IF(IF(ISNA(INDEX(СГИ!$P$3:$AI$22,VLOOKUP($P17,СГИ!$N$3:$O$22,2),HLOOKUP(AD$6,СГИ!$P$1:$AI$2,2))),"",INDEX(СГИ!$P$3:$AI$22,VLOOKUP($P17,СГИ!$N$3:$O$22,2),HLOOKUP(AD$6,СГИ!$P$1:$AI$2,2)))=1,CONCATENATE("при измерении ",$P17," ",AD$6," не допускается ! "),"")</f>
      </c>
      <c r="AE17" s="277">
        <f>IF(IF(ISNA(INDEX(СГИ!$P$3:$AI$22,VLOOKUP($P17,СГИ!$N$3:$O$22,2),HLOOKUP(AE$6,СГИ!$P$1:$AI$2,2))),"",INDEX(СГИ!$P$3:$AI$22,VLOOKUP($P17,СГИ!$N$3:$O$22,2),HLOOKUP(AE$6,СГИ!$P$1:$AI$2,2)))=1,CONCATENATE("при измерении ",$P17," ",AE$6," не допускается ! "),"")</f>
      </c>
      <c r="AF17" s="277">
        <f>IF(IF(ISNA(INDEX(СГИ!$P$3:$AI$22,VLOOKUP($P17,СГИ!$N$3:$O$22,2),HLOOKUP(AF$6,СГИ!$P$1:$AI$2,2))),"",INDEX(СГИ!$P$3:$AI$22,VLOOKUP($P17,СГИ!$N$3:$O$22,2),HLOOKUP(AF$6,СГИ!$P$1:$AI$2,2)))=1,CONCATENATE("при измерении ",$P17," ",AF$6," не допускается ! "),"")</f>
      </c>
      <c r="AG17" s="277">
        <f>IF(IF(ISNA(INDEX(СГИ!$P$3:$AI$22,VLOOKUP($P17,СГИ!$N$3:$O$22,2),HLOOKUP(AG$6,СГИ!$P$1:$AI$2,2))),"",INDEX(СГИ!$P$3:$AI$22,VLOOKUP($P17,СГИ!$N$3:$O$22,2),HLOOKUP(AG$6,СГИ!$P$1:$AI$2,2)))=1,CONCATENATE("при измерении ",$P17," ",AG$6," не допускается ! "),"")</f>
      </c>
      <c r="AH17" s="372">
        <f>IF(IF(ISNA(INDEX(СГИ!$P$3:$AI$22,VLOOKUP($P17,СГИ!$N$3:$O$22,2),HLOOKUP(AH$6,СГИ!$P$1:$AI$2,2))),"",INDEX(СГИ!$P$3:$AI$22,VLOOKUP($P17,СГИ!$N$3:$O$22,2),HLOOKUP(AH$6,СГИ!$P$1:$AI$2,2)))=1,CONCATENATE("при измерении ",$P17," ",AH$6," не допускается ! "),"")</f>
      </c>
      <c r="AI17">
        <f t="shared" si="3"/>
      </c>
    </row>
    <row r="18" spans="1:35" ht="12.75" customHeight="1">
      <c r="A18" s="351"/>
      <c r="B18" s="380"/>
      <c r="C18" s="380"/>
      <c r="D18" s="332" t="s">
        <v>396</v>
      </c>
      <c r="E18" s="368"/>
      <c r="F18" s="369" t="str">
        <f t="shared" si="1"/>
        <v>&lt;- введите данные, где необходимо</v>
      </c>
      <c r="G18"/>
      <c r="H18" s="853" t="s">
        <v>400</v>
      </c>
      <c r="I18" s="864" t="str">
        <f>IF(I13="проверьте ввод данных","--",ROUND(SUM(I13:I13)*0.975,-1)*(1+ПГ!B2))</f>
        <v>--</v>
      </c>
      <c r="J18" s="885">
        <f t="shared" si="4"/>
      </c>
      <c r="K18" s="337">
        <f t="shared" si="2"/>
        <v>0</v>
      </c>
      <c r="L18" s="364"/>
      <c r="N18" s="371">
        <f>IF(E18&gt;0,ПГ!D18,"")</f>
      </c>
      <c r="P18" s="276">
        <f t="shared" si="0"/>
      </c>
      <c r="Q18" s="277">
        <f>IF(IF(ISNA(INDEX(СГИ!$P$3:$AI$22,VLOOKUP($P18,СГИ!$N$3:$O$22,2),HLOOKUP(Q$6,СГИ!$P$1:$AI$2,2))),"",INDEX(СГИ!$P$3:$AI$22,VLOOKUP($P18,СГИ!$N$3:$O$22,2),HLOOKUP(Q$6,СГИ!$P$1:$AI$2,2)))=1,CONCATENATE("при измерении ",$P18," ",Q$6," не допускается ! "),"")</f>
      </c>
      <c r="R18" s="277">
        <f>IF(IF(ISNA(INDEX(СГИ!$P$3:$AI$22,VLOOKUP($P18,СГИ!$N$3:$O$22,2),HLOOKUP(R$6,СГИ!$P$1:$AI$2,2))),"",INDEX(СГИ!$P$3:$AI$22,VLOOKUP($P18,СГИ!$N$3:$O$22,2),HLOOKUP(R$6,СГИ!$P$1:$AI$2,2)))=1,CONCATENATE("при измерении ",$P18," ",R$6," не допускается ! "),"")</f>
      </c>
      <c r="S18" s="277">
        <f>IF(IF(ISNA(INDEX(СГИ!$P$3:$AI$22,VLOOKUP($P18,СГИ!$N$3:$O$22,2),HLOOKUP(S$6,СГИ!$P$1:$AI$2,2))),"",INDEX(СГИ!$P$3:$AI$22,VLOOKUP($P18,СГИ!$N$3:$O$22,2),HLOOKUP(S$6,СГИ!$P$1:$AI$2,2)))=1,CONCATENATE("при измерении ",$P18," ",S$6," не допускается ! "),"")</f>
      </c>
      <c r="T18" s="277">
        <f>IF(IF(ISNA(INDEX(СГИ!$P$3:$AI$22,VLOOKUP($P18,СГИ!$N$3:$O$22,2),HLOOKUP(T$6,СГИ!$P$1:$AI$2,2))),"",INDEX(СГИ!$P$3:$AI$22,VLOOKUP($P18,СГИ!$N$3:$O$22,2),HLOOKUP(T$6,СГИ!$P$1:$AI$2,2)))=1,CONCATENATE("при измерении ",$P18," ",T$6," не допускается ! "),"")</f>
      </c>
      <c r="U18" s="277">
        <f>IF(IF(ISNA(INDEX(СГИ!$P$3:$AI$22,VLOOKUP($P18,СГИ!$N$3:$O$22,2),HLOOKUP(U$6,СГИ!$P$1:$AI$2,2))),"",INDEX(СГИ!$P$3:$AI$22,VLOOKUP($P18,СГИ!$N$3:$O$22,2),HLOOKUP(U$6,СГИ!$P$1:$AI$2,2)))=1,CONCATENATE("при измерении ",$P18," ",U$6," не допускается ! "),"")</f>
      </c>
      <c r="V18" s="277">
        <f>IF(IF(ISNA(INDEX(СГИ!$P$3:$AI$22,VLOOKUP($P18,СГИ!$N$3:$O$22,2),HLOOKUP(V$6,СГИ!$P$1:$AI$2,2))),"",INDEX(СГИ!$P$3:$AI$22,VLOOKUP($P18,СГИ!$N$3:$O$22,2),HLOOKUP(V$6,СГИ!$P$1:$AI$2,2)))=1,CONCATENATE("при измерении ",$P18," ",V$6," не допускается ! "),"")</f>
      </c>
      <c r="W18" s="277">
        <f>IF(IF(ISNA(INDEX(СГИ!$P$3:$AI$22,VLOOKUP($P18,СГИ!$N$3:$O$22,2),HLOOKUP(W$6,СГИ!$P$1:$AI$2,2))),"",INDEX(СГИ!$P$3:$AI$22,VLOOKUP($P18,СГИ!$N$3:$O$22,2),HLOOKUP(W$6,СГИ!$P$1:$AI$2,2)))=1,CONCATENATE("при измерении ",$P18," ",W$6," не допускается ! "),"")</f>
      </c>
      <c r="X18" s="277">
        <f>IF(IF(ISNA(INDEX(СГИ!$P$3:$AI$22,VLOOKUP($P18,СГИ!$N$3:$O$22,2),HLOOKUP(X$6,СГИ!$P$1:$AI$2,2))),"",INDEX(СГИ!$P$3:$AI$22,VLOOKUP($P18,СГИ!$N$3:$O$22,2),HLOOKUP(X$6,СГИ!$P$1:$AI$2,2)))=1,CONCATENATE("при измерении ",$P18," ",X$6," не допускается ! "),"")</f>
      </c>
      <c r="Y18" s="277">
        <f>IF(IF(ISNA(INDEX(СГИ!$P$3:$AI$22,VLOOKUP($P18,СГИ!$N$3:$O$22,2),HLOOKUP(Y$6,СГИ!$P$1:$AI$2,2))),"",INDEX(СГИ!$P$3:$AI$22,VLOOKUP($P18,СГИ!$N$3:$O$22,2),HLOOKUP(Y$6,СГИ!$P$1:$AI$2,2)))=1,CONCATENATE("при измерении ",$P18," ",Y$6," не допускается ! "),"")</f>
      </c>
      <c r="Z18" s="277">
        <f>IF(IF(ISNA(INDEX(СГИ!$P$3:$AI$22,VLOOKUP($P18,СГИ!$N$3:$O$22,2),HLOOKUP(Z$6,СГИ!$P$1:$AI$2,2))),"",INDEX(СГИ!$P$3:$AI$22,VLOOKUP($P18,СГИ!$N$3:$O$22,2),HLOOKUP(Z$6,СГИ!$P$1:$AI$2,2)))=1,CONCATENATE("при измерении ",$P18," ",Z$6," не допускается ! "),"")</f>
      </c>
      <c r="AA18" s="277">
        <f>IF(IF(ISNA(INDEX(СГИ!$P$3:$AI$22,VLOOKUP($P18,СГИ!$N$3:$O$22,2),HLOOKUP(AA$6,СГИ!$P$1:$AI$2,2))),"",INDEX(СГИ!$P$3:$AI$22,VLOOKUP($P18,СГИ!$N$3:$O$22,2),HLOOKUP(AA$6,СГИ!$P$1:$AI$2,2)))=1,CONCATENATE("при измерении ",$P18," ",AA$6," не допускается ! "),"")</f>
      </c>
      <c r="AB18" s="277">
        <f>IF(IF(ISNA(INDEX(СГИ!$P$3:$AI$22,VLOOKUP($P18,СГИ!$N$3:$O$22,2),HLOOKUP(AB$6,СГИ!$P$1:$AI$2,2))),"",INDEX(СГИ!$P$3:$AI$22,VLOOKUP($P18,СГИ!$N$3:$O$22,2),HLOOKUP(AB$6,СГИ!$P$1:$AI$2,2)))=1,CONCATENATE("при измерении ",$P18," ",AB$6," не допускается ! "),"")</f>
      </c>
      <c r="AC18" s="277">
        <f>IF(IF(ISNA(INDEX(СГИ!$P$3:$AI$22,VLOOKUP($P18,СГИ!$N$3:$O$22,2),HLOOKUP(AC$6,СГИ!$P$1:$AI$2,2))),"",INDEX(СГИ!$P$3:$AI$22,VLOOKUP($P18,СГИ!$N$3:$O$22,2),HLOOKUP(AC$6,СГИ!$P$1:$AI$2,2)))=1,CONCATENATE("при измерении ",$P18," ",AC$6," не допускается ! "),"")</f>
      </c>
      <c r="AD18" s="277">
        <f>IF(IF(ISNA(INDEX(СГИ!$P$3:$AI$22,VLOOKUP($P18,СГИ!$N$3:$O$22,2),HLOOKUP(AD$6,СГИ!$P$1:$AI$2,2))),"",INDEX(СГИ!$P$3:$AI$22,VLOOKUP($P18,СГИ!$N$3:$O$22,2),HLOOKUP(AD$6,СГИ!$P$1:$AI$2,2)))=1,CONCATENATE("при измерении ",$P18," ",AD$6," не допускается ! "),"")</f>
      </c>
      <c r="AE18" s="277">
        <f>IF(IF(ISNA(INDEX(СГИ!$P$3:$AI$22,VLOOKUP($P18,СГИ!$N$3:$O$22,2),HLOOKUP(AE$6,СГИ!$P$1:$AI$2,2))),"",INDEX(СГИ!$P$3:$AI$22,VLOOKUP($P18,СГИ!$N$3:$O$22,2),HLOOKUP(AE$6,СГИ!$P$1:$AI$2,2)))=1,CONCATENATE("при измерении ",$P18," ",AE$6," не допускается ! "),"")</f>
      </c>
      <c r="AF18" s="277">
        <f>IF(IF(ISNA(INDEX(СГИ!$P$3:$AI$22,VLOOKUP($P18,СГИ!$N$3:$O$22,2),HLOOKUP(AF$6,СГИ!$P$1:$AI$2,2))),"",INDEX(СГИ!$P$3:$AI$22,VLOOKUP($P18,СГИ!$N$3:$O$22,2),HLOOKUP(AF$6,СГИ!$P$1:$AI$2,2)))=1,CONCATENATE("при измерении ",$P18," ",AF$6," не допускается ! "),"")</f>
      </c>
      <c r="AG18" s="277">
        <f>IF(IF(ISNA(INDEX(СГИ!$P$3:$AI$22,VLOOKUP($P18,СГИ!$N$3:$O$22,2),HLOOKUP(AG$6,СГИ!$P$1:$AI$2,2))),"",INDEX(СГИ!$P$3:$AI$22,VLOOKUP($P18,СГИ!$N$3:$O$22,2),HLOOKUP(AG$6,СГИ!$P$1:$AI$2,2)))=1,CONCATENATE("при измерении ",$P18," ",AG$6," не допускается ! "),"")</f>
      </c>
      <c r="AH18" s="372">
        <f>IF(IF(ISNA(INDEX(СГИ!$P$3:$AI$22,VLOOKUP($P18,СГИ!$N$3:$O$22,2),HLOOKUP(AH$6,СГИ!$P$1:$AI$2,2))),"",INDEX(СГИ!$P$3:$AI$22,VLOOKUP($P18,СГИ!$N$3:$O$22,2),HLOOKUP(AH$6,СГИ!$P$1:$AI$2,2)))=1,CONCATENATE("при измерении ",$P18," ",AH$6," не допускается ! "),"")</f>
      </c>
      <c r="AI18">
        <f t="shared" si="3"/>
      </c>
    </row>
    <row r="19" spans="1:35" ht="12.75" customHeight="1">
      <c r="A19" s="351"/>
      <c r="B19" s="383"/>
      <c r="C19" s="380"/>
      <c r="D19" s="332" t="s">
        <v>398</v>
      </c>
      <c r="E19" s="368"/>
      <c r="F19" s="369" t="str">
        <f t="shared" si="1"/>
        <v>&lt;- введите данные, где необходимо</v>
      </c>
      <c r="G19"/>
      <c r="H19" s="853" t="s">
        <v>401</v>
      </c>
      <c r="I19" s="871" t="str">
        <f>IF(I13="проверьте ввод данных","--",ROUND(SUM(I13:I13)*0.95,-1)*(1+ПГ!B2))</f>
        <v>--</v>
      </c>
      <c r="J19" s="885">
        <f t="shared" si="4"/>
      </c>
      <c r="K19" s="337">
        <f t="shared" si="2"/>
        <v>0</v>
      </c>
      <c r="L19" s="364"/>
      <c r="N19" s="371">
        <f>IF(E19&gt;0,ПГ!D19,"")</f>
      </c>
      <c r="P19" s="276">
        <f t="shared" si="0"/>
      </c>
      <c r="Q19" s="277">
        <f>IF(IF(ISNA(INDEX(СГИ!$P$3:$AI$22,VLOOKUP($P19,СГИ!$N$3:$O$22,2),HLOOKUP(Q$6,СГИ!$P$1:$AI$2,2))),"",INDEX(СГИ!$P$3:$AI$22,VLOOKUP($P19,СГИ!$N$3:$O$22,2),HLOOKUP(Q$6,СГИ!$P$1:$AI$2,2)))=1,CONCATENATE("при измерении ",$P19," ",Q$6," не допускается ! "),"")</f>
      </c>
      <c r="R19" s="277">
        <f>IF(IF(ISNA(INDEX(СГИ!$P$3:$AI$22,VLOOKUP($P19,СГИ!$N$3:$O$22,2),HLOOKUP(R$6,СГИ!$P$1:$AI$2,2))),"",INDEX(СГИ!$P$3:$AI$22,VLOOKUP($P19,СГИ!$N$3:$O$22,2),HLOOKUP(R$6,СГИ!$P$1:$AI$2,2)))=1,CONCATENATE("при измерении ",$P19," ",R$6," не допускается ! "),"")</f>
      </c>
      <c r="S19" s="277">
        <f>IF(IF(ISNA(INDEX(СГИ!$P$3:$AI$22,VLOOKUP($P19,СГИ!$N$3:$O$22,2),HLOOKUP(S$6,СГИ!$P$1:$AI$2,2))),"",INDEX(СГИ!$P$3:$AI$22,VLOOKUP($P19,СГИ!$N$3:$O$22,2),HLOOKUP(S$6,СГИ!$P$1:$AI$2,2)))=1,CONCATENATE("при измерении ",$P19," ",S$6," не допускается ! "),"")</f>
      </c>
      <c r="T19" s="277">
        <f>IF(IF(ISNA(INDEX(СГИ!$P$3:$AI$22,VLOOKUP($P19,СГИ!$N$3:$O$22,2),HLOOKUP(T$6,СГИ!$P$1:$AI$2,2))),"",INDEX(СГИ!$P$3:$AI$22,VLOOKUP($P19,СГИ!$N$3:$O$22,2),HLOOKUP(T$6,СГИ!$P$1:$AI$2,2)))=1,CONCATENATE("при измерении ",$P19," ",T$6," не допускается ! "),"")</f>
      </c>
      <c r="U19" s="277">
        <f>IF(IF(ISNA(INDEX(СГИ!$P$3:$AI$22,VLOOKUP($P19,СГИ!$N$3:$O$22,2),HLOOKUP(U$6,СГИ!$P$1:$AI$2,2))),"",INDEX(СГИ!$P$3:$AI$22,VLOOKUP($P19,СГИ!$N$3:$O$22,2),HLOOKUP(U$6,СГИ!$P$1:$AI$2,2)))=1,CONCATENATE("при измерении ",$P19," ",U$6," не допускается ! "),"")</f>
      </c>
      <c r="V19" s="277">
        <f>IF(IF(ISNA(INDEX(СГИ!$P$3:$AI$22,VLOOKUP($P19,СГИ!$N$3:$O$22,2),HLOOKUP(V$6,СГИ!$P$1:$AI$2,2))),"",INDEX(СГИ!$P$3:$AI$22,VLOOKUP($P19,СГИ!$N$3:$O$22,2),HLOOKUP(V$6,СГИ!$P$1:$AI$2,2)))=1,CONCATENATE("при измерении ",$P19," ",V$6," не допускается ! "),"")</f>
      </c>
      <c r="W19" s="277">
        <f>IF(IF(ISNA(INDEX(СГИ!$P$3:$AI$22,VLOOKUP($P19,СГИ!$N$3:$O$22,2),HLOOKUP(W$6,СГИ!$P$1:$AI$2,2))),"",INDEX(СГИ!$P$3:$AI$22,VLOOKUP($P19,СГИ!$N$3:$O$22,2),HLOOKUP(W$6,СГИ!$P$1:$AI$2,2)))=1,CONCATENATE("при измерении ",$P19," ",W$6," не допускается ! "),"")</f>
      </c>
      <c r="X19" s="277">
        <f>IF(IF(ISNA(INDEX(СГИ!$P$3:$AI$22,VLOOKUP($P19,СГИ!$N$3:$O$22,2),HLOOKUP(X$6,СГИ!$P$1:$AI$2,2))),"",INDEX(СГИ!$P$3:$AI$22,VLOOKUP($P19,СГИ!$N$3:$O$22,2),HLOOKUP(X$6,СГИ!$P$1:$AI$2,2)))=1,CONCATENATE("при измерении ",$P19," ",X$6," не допускается ! "),"")</f>
      </c>
      <c r="Y19" s="277">
        <f>IF(IF(ISNA(INDEX(СГИ!$P$3:$AI$22,VLOOKUP($P19,СГИ!$N$3:$O$22,2),HLOOKUP(Y$6,СГИ!$P$1:$AI$2,2))),"",INDEX(СГИ!$P$3:$AI$22,VLOOKUP($P19,СГИ!$N$3:$O$22,2),HLOOKUP(Y$6,СГИ!$P$1:$AI$2,2)))=1,CONCATENATE("при измерении ",$P19," ",Y$6," не допускается ! "),"")</f>
      </c>
      <c r="Z19" s="277">
        <f>IF(IF(ISNA(INDEX(СГИ!$P$3:$AI$22,VLOOKUP($P19,СГИ!$N$3:$O$22,2),HLOOKUP(Z$6,СГИ!$P$1:$AI$2,2))),"",INDEX(СГИ!$P$3:$AI$22,VLOOKUP($P19,СГИ!$N$3:$O$22,2),HLOOKUP(Z$6,СГИ!$P$1:$AI$2,2)))=1,CONCATENATE("при измерении ",$P19," ",Z$6," не допускается ! "),"")</f>
      </c>
      <c r="AA19" s="277">
        <f>IF(IF(ISNA(INDEX(СГИ!$P$3:$AI$22,VLOOKUP($P19,СГИ!$N$3:$O$22,2),HLOOKUP(AA$6,СГИ!$P$1:$AI$2,2))),"",INDEX(СГИ!$P$3:$AI$22,VLOOKUP($P19,СГИ!$N$3:$O$22,2),HLOOKUP(AA$6,СГИ!$P$1:$AI$2,2)))=1,CONCATENATE("при измерении ",$P19," ",AA$6," не допускается ! "),"")</f>
      </c>
      <c r="AB19" s="277">
        <f>IF(IF(ISNA(INDEX(СГИ!$P$3:$AI$22,VLOOKUP($P19,СГИ!$N$3:$O$22,2),HLOOKUP(AB$6,СГИ!$P$1:$AI$2,2))),"",INDEX(СГИ!$P$3:$AI$22,VLOOKUP($P19,СГИ!$N$3:$O$22,2),HLOOKUP(AB$6,СГИ!$P$1:$AI$2,2)))=1,CONCATENATE("при измерении ",$P19," ",AB$6," не допускается ! "),"")</f>
      </c>
      <c r="AC19" s="277">
        <f>IF(IF(ISNA(INDEX(СГИ!$P$3:$AI$22,VLOOKUP($P19,СГИ!$N$3:$O$22,2),HLOOKUP(AC$6,СГИ!$P$1:$AI$2,2))),"",INDEX(СГИ!$P$3:$AI$22,VLOOKUP($P19,СГИ!$N$3:$O$22,2),HLOOKUP(AC$6,СГИ!$P$1:$AI$2,2)))=1,CONCATENATE("при измерении ",$P19," ",AC$6," не допускается ! "),"")</f>
      </c>
      <c r="AD19" s="277">
        <f>IF(IF(ISNA(INDEX(СГИ!$P$3:$AI$22,VLOOKUP($P19,СГИ!$N$3:$O$22,2),HLOOKUP(AD$6,СГИ!$P$1:$AI$2,2))),"",INDEX(СГИ!$P$3:$AI$22,VLOOKUP($P19,СГИ!$N$3:$O$22,2),HLOOKUP(AD$6,СГИ!$P$1:$AI$2,2)))=1,CONCATENATE("при измерении ",$P19," ",AD$6," не допускается ! "),"")</f>
      </c>
      <c r="AE19" s="277">
        <f>IF(IF(ISNA(INDEX(СГИ!$P$3:$AI$22,VLOOKUP($P19,СГИ!$N$3:$O$22,2),HLOOKUP(AE$6,СГИ!$P$1:$AI$2,2))),"",INDEX(СГИ!$P$3:$AI$22,VLOOKUP($P19,СГИ!$N$3:$O$22,2),HLOOKUP(AE$6,СГИ!$P$1:$AI$2,2)))=1,CONCATENATE("при измерении ",$P19," ",AE$6," не допускается ! "),"")</f>
      </c>
      <c r="AF19" s="277">
        <f>IF(IF(ISNA(INDEX(СГИ!$P$3:$AI$22,VLOOKUP($P19,СГИ!$N$3:$O$22,2),HLOOKUP(AF$6,СГИ!$P$1:$AI$2,2))),"",INDEX(СГИ!$P$3:$AI$22,VLOOKUP($P19,СГИ!$N$3:$O$22,2),HLOOKUP(AF$6,СГИ!$P$1:$AI$2,2)))=1,CONCATENATE("при измерении ",$P19," ",AF$6," не допускается ! "),"")</f>
      </c>
      <c r="AG19" s="277">
        <f>IF(IF(ISNA(INDEX(СГИ!$P$3:$AI$22,VLOOKUP($P19,СГИ!$N$3:$O$22,2),HLOOKUP(AG$6,СГИ!$P$1:$AI$2,2))),"",INDEX(СГИ!$P$3:$AI$22,VLOOKUP($P19,СГИ!$N$3:$O$22,2),HLOOKUP(AG$6,СГИ!$P$1:$AI$2,2)))=1,CONCATENATE("при измерении ",$P19," ",AG$6," не допускается ! "),"")</f>
      </c>
      <c r="AH19" s="372">
        <f>IF(IF(ISNA(INDEX(СГИ!$P$3:$AI$22,VLOOKUP($P19,СГИ!$N$3:$O$22,2),HLOOKUP(AH$6,СГИ!$P$1:$AI$2,2))),"",INDEX(СГИ!$P$3:$AI$22,VLOOKUP($P19,СГИ!$N$3:$O$22,2),HLOOKUP(AH$6,СГИ!$P$1:$AI$2,2)))=1,CONCATENATE("при измерении ",$P19," ",AH$6," не допускается ! "),"")</f>
      </c>
      <c r="AI19">
        <f t="shared" si="3"/>
      </c>
    </row>
    <row r="20" spans="1:35" ht="12.75" customHeight="1">
      <c r="A20" s="351"/>
      <c r="B20" s="384"/>
      <c r="C20" s="385"/>
      <c r="D20" s="386" t="s">
        <v>48</v>
      </c>
      <c r="E20" s="368"/>
      <c r="F20" s="369" t="str">
        <f t="shared" si="1"/>
        <v>&lt;- введите данные, где необходимо</v>
      </c>
      <c r="G20"/>
      <c r="H20" s="867"/>
      <c r="I20" s="868"/>
      <c r="J20" s="885">
        <f t="shared" si="4"/>
      </c>
      <c r="K20" s="337">
        <f t="shared" si="2"/>
        <v>0</v>
      </c>
      <c r="N20" s="371">
        <f>IF(E20&gt;0,ПГ!D20,"")</f>
      </c>
      <c r="P20" s="276">
        <f t="shared" si="0"/>
      </c>
      <c r="Q20" s="277">
        <f>IF(IF(ISNA(INDEX(СГИ!$P$3:$AI$22,VLOOKUP($P20,СГИ!$N$3:$O$22,2),HLOOKUP(Q$6,СГИ!$P$1:$AI$2,2))),"",INDEX(СГИ!$P$3:$AI$22,VLOOKUP($P20,СГИ!$N$3:$O$22,2),HLOOKUP(Q$6,СГИ!$P$1:$AI$2,2)))=1,CONCATENATE("при измерении ",$P20," ",Q$6," не допускается ! "),"")</f>
      </c>
      <c r="R20" s="277">
        <f>IF(IF(ISNA(INDEX(СГИ!$P$3:$AI$22,VLOOKUP($P20,СГИ!$N$3:$O$22,2),HLOOKUP(R$6,СГИ!$P$1:$AI$2,2))),"",INDEX(СГИ!$P$3:$AI$22,VLOOKUP($P20,СГИ!$N$3:$O$22,2),HLOOKUP(R$6,СГИ!$P$1:$AI$2,2)))=1,CONCATENATE("при измерении ",$P20," ",R$6," не допускается ! "),"")</f>
      </c>
      <c r="S20" s="277">
        <f>IF(IF(ISNA(INDEX(СГИ!$P$3:$AI$22,VLOOKUP($P20,СГИ!$N$3:$O$22,2),HLOOKUP(S$6,СГИ!$P$1:$AI$2,2))),"",INDEX(СГИ!$P$3:$AI$22,VLOOKUP($P20,СГИ!$N$3:$O$22,2),HLOOKUP(S$6,СГИ!$P$1:$AI$2,2)))=1,CONCATENATE("при измерении ",$P20," ",S$6," не допускается ! "),"")</f>
      </c>
      <c r="T20" s="277">
        <f>IF(IF(ISNA(INDEX(СГИ!$P$3:$AI$22,VLOOKUP($P20,СГИ!$N$3:$O$22,2),HLOOKUP(T$6,СГИ!$P$1:$AI$2,2))),"",INDEX(СГИ!$P$3:$AI$22,VLOOKUP($P20,СГИ!$N$3:$O$22,2),HLOOKUP(T$6,СГИ!$P$1:$AI$2,2)))=1,CONCATENATE("при измерении ",$P20," ",T$6," не допускается ! "),"")</f>
      </c>
      <c r="U20" s="277">
        <f>IF(IF(ISNA(INDEX(СГИ!$P$3:$AI$22,VLOOKUP($P20,СГИ!$N$3:$O$22,2),HLOOKUP(U$6,СГИ!$P$1:$AI$2,2))),"",INDEX(СГИ!$P$3:$AI$22,VLOOKUP($P20,СГИ!$N$3:$O$22,2),HLOOKUP(U$6,СГИ!$P$1:$AI$2,2)))=1,CONCATENATE("при измерении ",$P20," ",U$6," не допускается ! "),"")</f>
      </c>
      <c r="V20" s="277">
        <f>IF(IF(ISNA(INDEX(СГИ!$P$3:$AI$22,VLOOKUP($P20,СГИ!$N$3:$O$22,2),HLOOKUP(V$6,СГИ!$P$1:$AI$2,2))),"",INDEX(СГИ!$P$3:$AI$22,VLOOKUP($P20,СГИ!$N$3:$O$22,2),HLOOKUP(V$6,СГИ!$P$1:$AI$2,2)))=1,CONCATENATE("при измерении ",$P20," ",V$6," не допускается ! "),"")</f>
      </c>
      <c r="W20" s="277">
        <f>IF(IF(ISNA(INDEX(СГИ!$P$3:$AI$22,VLOOKUP($P20,СГИ!$N$3:$O$22,2),HLOOKUP(W$6,СГИ!$P$1:$AI$2,2))),"",INDEX(СГИ!$P$3:$AI$22,VLOOKUP($P20,СГИ!$N$3:$O$22,2),HLOOKUP(W$6,СГИ!$P$1:$AI$2,2)))=1,CONCATENATE("при измерении ",$P20," ",W$6," не допускается ! "),"")</f>
      </c>
      <c r="X20" s="277">
        <f>IF(IF(ISNA(INDEX(СГИ!$P$3:$AI$22,VLOOKUP($P20,СГИ!$N$3:$O$22,2),HLOOKUP(X$6,СГИ!$P$1:$AI$2,2))),"",INDEX(СГИ!$P$3:$AI$22,VLOOKUP($P20,СГИ!$N$3:$O$22,2),HLOOKUP(X$6,СГИ!$P$1:$AI$2,2)))=1,CONCATENATE("при измерении ",$P20," ",X$6," не допускается ! "),"")</f>
      </c>
      <c r="Y20" s="277">
        <f>IF(IF(ISNA(INDEX(СГИ!$P$3:$AI$22,VLOOKUP($P20,СГИ!$N$3:$O$22,2),HLOOKUP(Y$6,СГИ!$P$1:$AI$2,2))),"",INDEX(СГИ!$P$3:$AI$22,VLOOKUP($P20,СГИ!$N$3:$O$22,2),HLOOKUP(Y$6,СГИ!$P$1:$AI$2,2)))=1,CONCATENATE("при измерении ",$P20," ",Y$6," не допускается ! "),"")</f>
      </c>
      <c r="Z20" s="277">
        <f>IF(IF(ISNA(INDEX(СГИ!$P$3:$AI$22,VLOOKUP($P20,СГИ!$N$3:$O$22,2),HLOOKUP(Z$6,СГИ!$P$1:$AI$2,2))),"",INDEX(СГИ!$P$3:$AI$22,VLOOKUP($P20,СГИ!$N$3:$O$22,2),HLOOKUP(Z$6,СГИ!$P$1:$AI$2,2)))=1,CONCATENATE("при измерении ",$P20," ",Z$6," не допускается ! "),"")</f>
      </c>
      <c r="AA20" s="277">
        <f>IF(IF(ISNA(INDEX(СГИ!$P$3:$AI$22,VLOOKUP($P20,СГИ!$N$3:$O$22,2),HLOOKUP(AA$6,СГИ!$P$1:$AI$2,2))),"",INDEX(СГИ!$P$3:$AI$22,VLOOKUP($P20,СГИ!$N$3:$O$22,2),HLOOKUP(AA$6,СГИ!$P$1:$AI$2,2)))=1,CONCATENATE("при измерении ",$P20," ",AA$6," не допускается ! "),"")</f>
      </c>
      <c r="AB20" s="277">
        <f>IF(IF(ISNA(INDEX(СГИ!$P$3:$AI$22,VLOOKUP($P20,СГИ!$N$3:$O$22,2),HLOOKUP(AB$6,СГИ!$P$1:$AI$2,2))),"",INDEX(СГИ!$P$3:$AI$22,VLOOKUP($P20,СГИ!$N$3:$O$22,2),HLOOKUP(AB$6,СГИ!$P$1:$AI$2,2)))=1,CONCATENATE("при измерении ",$P20," ",AB$6," не допускается ! "),"")</f>
      </c>
      <c r="AC20" s="277">
        <f>IF(IF(ISNA(INDEX(СГИ!$P$3:$AI$22,VLOOKUP($P20,СГИ!$N$3:$O$22,2),HLOOKUP(AC$6,СГИ!$P$1:$AI$2,2))),"",INDEX(СГИ!$P$3:$AI$22,VLOOKUP($P20,СГИ!$N$3:$O$22,2),HLOOKUP(AC$6,СГИ!$P$1:$AI$2,2)))=1,CONCATENATE("при измерении ",$P20," ",AC$6," не допускается ! "),"")</f>
      </c>
      <c r="AD20" s="277">
        <f>IF(IF(ISNA(INDEX(СГИ!$P$3:$AI$22,VLOOKUP($P20,СГИ!$N$3:$O$22,2),HLOOKUP(AD$6,СГИ!$P$1:$AI$2,2))),"",INDEX(СГИ!$P$3:$AI$22,VLOOKUP($P20,СГИ!$N$3:$O$22,2),HLOOKUP(AD$6,СГИ!$P$1:$AI$2,2)))=1,CONCATENATE("при измерении ",$P20," ",AD$6," не допускается ! "),"")</f>
      </c>
      <c r="AE20" s="277">
        <f>IF(IF(ISNA(INDEX(СГИ!$P$3:$AI$22,VLOOKUP($P20,СГИ!$N$3:$O$22,2),HLOOKUP(AE$6,СГИ!$P$1:$AI$2,2))),"",INDEX(СГИ!$P$3:$AI$22,VLOOKUP($P20,СГИ!$N$3:$O$22,2),HLOOKUP(AE$6,СГИ!$P$1:$AI$2,2)))=1,CONCATENATE("при измерении ",$P20," ",AE$6," не допускается ! "),"")</f>
      </c>
      <c r="AF20" s="277">
        <f>IF(IF(ISNA(INDEX(СГИ!$P$3:$AI$22,VLOOKUP($P20,СГИ!$N$3:$O$22,2),HLOOKUP(AF$6,СГИ!$P$1:$AI$2,2))),"",INDEX(СГИ!$P$3:$AI$22,VLOOKUP($P20,СГИ!$N$3:$O$22,2),HLOOKUP(AF$6,СГИ!$P$1:$AI$2,2)))=1,CONCATENATE("при измерении ",$P20," ",AF$6," не допускается ! "),"")</f>
      </c>
      <c r="AG20" s="277">
        <f>IF(IF(ISNA(INDEX(СГИ!$P$3:$AI$22,VLOOKUP($P20,СГИ!$N$3:$O$22,2),HLOOKUP(AG$6,СГИ!$P$1:$AI$2,2))),"",INDEX(СГИ!$P$3:$AI$22,VLOOKUP($P20,СГИ!$N$3:$O$22,2),HLOOKUP(AG$6,СГИ!$P$1:$AI$2,2)))=1,CONCATENATE("при измерении ",$P20," ",AG$6," не допускается ! "),"")</f>
      </c>
      <c r="AH20" s="372">
        <f>IF(IF(ISNA(INDEX(СГИ!$P$3:$AI$22,VLOOKUP($P20,СГИ!$N$3:$O$22,2),HLOOKUP(AH$6,СГИ!$P$1:$AI$2,2))),"",INDEX(СГИ!$P$3:$AI$22,VLOOKUP($P20,СГИ!$N$3:$O$22,2),HLOOKUP(AH$6,СГИ!$P$1:$AI$2,2)))=1,CONCATENATE("при измерении ",$P20," ",AH$6," не допускается ! "),"")</f>
      </c>
      <c r="AI20">
        <f t="shared" si="3"/>
      </c>
    </row>
    <row r="21" spans="1:35" ht="12.75" customHeight="1">
      <c r="A21" s="351"/>
      <c r="B21" s="387"/>
      <c r="C21" s="387"/>
      <c r="D21" s="388" t="s">
        <v>439</v>
      </c>
      <c r="E21" s="389"/>
      <c r="F21" s="390" t="s">
        <v>440</v>
      </c>
      <c r="G21" s="391"/>
      <c r="H21" s="891" t="s">
        <v>405</v>
      </c>
      <c r="I21" s="870" t="s">
        <v>406</v>
      </c>
      <c r="J21" s="886">
        <f t="shared" si="4"/>
      </c>
      <c r="K21" s="392">
        <f t="shared" si="2"/>
        <v>0</v>
      </c>
      <c r="N21" s="371">
        <f>IF(E21&gt;0,ПГ!D21,"")</f>
      </c>
      <c r="P21" s="276">
        <f t="shared" si="0"/>
      </c>
      <c r="Q21" s="277">
        <f>IF(IF(ISNA(INDEX(СГИ!$P$3:$AI$22,VLOOKUP($P21,СГИ!$N$3:$O$22,2),HLOOKUP(Q$6,СГИ!$P$1:$AI$2,2))),"",INDEX(СГИ!$P$3:$AI$22,VLOOKUP($P21,СГИ!$N$3:$O$22,2),HLOOKUP(Q$6,СГИ!$P$1:$AI$2,2)))=1,CONCATENATE("при измерении ",$P21," ",Q$6," не допускается ! "),"")</f>
      </c>
      <c r="R21" s="277">
        <f>IF(IF(ISNA(INDEX(СГИ!$P$3:$AI$22,VLOOKUP($P21,СГИ!$N$3:$O$22,2),HLOOKUP(R$6,СГИ!$P$1:$AI$2,2))),"",INDEX(СГИ!$P$3:$AI$22,VLOOKUP($P21,СГИ!$N$3:$O$22,2),HLOOKUP(R$6,СГИ!$P$1:$AI$2,2)))=1,CONCATENATE("при измерении ",$P21," ",R$6," не допускается ! "),"")</f>
      </c>
      <c r="S21" s="277">
        <f>IF(IF(ISNA(INDEX(СГИ!$P$3:$AI$22,VLOOKUP($P21,СГИ!$N$3:$O$22,2),HLOOKUP(S$6,СГИ!$P$1:$AI$2,2))),"",INDEX(СГИ!$P$3:$AI$22,VLOOKUP($P21,СГИ!$N$3:$O$22,2),HLOOKUP(S$6,СГИ!$P$1:$AI$2,2)))=1,CONCATENATE("при измерении ",$P21," ",S$6," не допускается ! "),"")</f>
      </c>
      <c r="T21" s="277">
        <f>IF(IF(ISNA(INDEX(СГИ!$P$3:$AI$22,VLOOKUP($P21,СГИ!$N$3:$O$22,2),HLOOKUP(T$6,СГИ!$P$1:$AI$2,2))),"",INDEX(СГИ!$P$3:$AI$22,VLOOKUP($P21,СГИ!$N$3:$O$22,2),HLOOKUP(T$6,СГИ!$P$1:$AI$2,2)))=1,CONCATENATE("при измерении ",$P21," ",T$6," не допускается ! "),"")</f>
      </c>
      <c r="U21" s="277">
        <f>IF(IF(ISNA(INDEX(СГИ!$P$3:$AI$22,VLOOKUP($P21,СГИ!$N$3:$O$22,2),HLOOKUP(U$6,СГИ!$P$1:$AI$2,2))),"",INDEX(СГИ!$P$3:$AI$22,VLOOKUP($P21,СГИ!$N$3:$O$22,2),HLOOKUP(U$6,СГИ!$P$1:$AI$2,2)))=1,CONCATENATE("при измерении ",$P21," ",U$6," не допускается ! "),"")</f>
      </c>
      <c r="V21" s="277">
        <f>IF(IF(ISNA(INDEX(СГИ!$P$3:$AI$22,VLOOKUP($P21,СГИ!$N$3:$O$22,2),HLOOKUP(V$6,СГИ!$P$1:$AI$2,2))),"",INDEX(СГИ!$P$3:$AI$22,VLOOKUP($P21,СГИ!$N$3:$O$22,2),HLOOKUP(V$6,СГИ!$P$1:$AI$2,2)))=1,CONCATENATE("при измерении ",$P21," ",V$6," не допускается ! "),"")</f>
      </c>
      <c r="W21" s="277">
        <f>IF(IF(ISNA(INDEX(СГИ!$P$3:$AI$22,VLOOKUP($P21,СГИ!$N$3:$O$22,2),HLOOKUP(W$6,СГИ!$P$1:$AI$2,2))),"",INDEX(СГИ!$P$3:$AI$22,VLOOKUP($P21,СГИ!$N$3:$O$22,2),HLOOKUP(W$6,СГИ!$P$1:$AI$2,2)))=1,CONCATENATE("при измерении ",$P21," ",W$6," не допускается ! "),"")</f>
      </c>
      <c r="X21" s="277">
        <f>IF(IF(ISNA(INDEX(СГИ!$P$3:$AI$22,VLOOKUP($P21,СГИ!$N$3:$O$22,2),HLOOKUP(X$6,СГИ!$P$1:$AI$2,2))),"",INDEX(СГИ!$P$3:$AI$22,VLOOKUP($P21,СГИ!$N$3:$O$22,2),HLOOKUP(X$6,СГИ!$P$1:$AI$2,2)))=1,CONCATENATE("при измерении ",$P21," ",X$6," не допускается ! "),"")</f>
      </c>
      <c r="Y21" s="277">
        <f>IF(IF(ISNA(INDEX(СГИ!$P$3:$AI$22,VLOOKUP($P21,СГИ!$N$3:$O$22,2),HLOOKUP(Y$6,СГИ!$P$1:$AI$2,2))),"",INDEX(СГИ!$P$3:$AI$22,VLOOKUP($P21,СГИ!$N$3:$O$22,2),HLOOKUP(Y$6,СГИ!$P$1:$AI$2,2)))=1,CONCATENATE("при измерении ",$P21," ",Y$6," не допускается ! "),"")</f>
      </c>
      <c r="Z21" s="277">
        <f>IF(IF(ISNA(INDEX(СГИ!$P$3:$AI$22,VLOOKUP($P21,СГИ!$N$3:$O$22,2),HLOOKUP(Z$6,СГИ!$P$1:$AI$2,2))),"",INDEX(СГИ!$P$3:$AI$22,VLOOKUP($P21,СГИ!$N$3:$O$22,2),HLOOKUP(Z$6,СГИ!$P$1:$AI$2,2)))=1,CONCATENATE("при измерении ",$P21," ",Z$6," не допускается ! "),"")</f>
      </c>
      <c r="AA21" s="277">
        <f>IF(IF(ISNA(INDEX(СГИ!$P$3:$AI$22,VLOOKUP($P21,СГИ!$N$3:$O$22,2),HLOOKUP(AA$6,СГИ!$P$1:$AI$2,2))),"",INDEX(СГИ!$P$3:$AI$22,VLOOKUP($P21,СГИ!$N$3:$O$22,2),HLOOKUP(AA$6,СГИ!$P$1:$AI$2,2)))=1,CONCATENATE("при измерении ",$P21," ",AA$6," не допускается ! "),"")</f>
      </c>
      <c r="AB21" s="277">
        <f>IF(IF(ISNA(INDEX(СГИ!$P$3:$AI$22,VLOOKUP($P21,СГИ!$N$3:$O$22,2),HLOOKUP(AB$6,СГИ!$P$1:$AI$2,2))),"",INDEX(СГИ!$P$3:$AI$22,VLOOKUP($P21,СГИ!$N$3:$O$22,2),HLOOKUP(AB$6,СГИ!$P$1:$AI$2,2)))=1,CONCATENATE("при измерении ",$P21," ",AB$6," не допускается ! "),"")</f>
      </c>
      <c r="AC21" s="277">
        <f>IF(IF(ISNA(INDEX(СГИ!$P$3:$AI$22,VLOOKUP($P21,СГИ!$N$3:$O$22,2),HLOOKUP(AC$6,СГИ!$P$1:$AI$2,2))),"",INDEX(СГИ!$P$3:$AI$22,VLOOKUP($P21,СГИ!$N$3:$O$22,2),HLOOKUP(AC$6,СГИ!$P$1:$AI$2,2)))=1,CONCATENATE("при измерении ",$P21," ",AC$6," не допускается ! "),"")</f>
      </c>
      <c r="AD21" s="277">
        <f>IF(IF(ISNA(INDEX(СГИ!$P$3:$AI$22,VLOOKUP($P21,СГИ!$N$3:$O$22,2),HLOOKUP(AD$6,СГИ!$P$1:$AI$2,2))),"",INDEX(СГИ!$P$3:$AI$22,VLOOKUP($P21,СГИ!$N$3:$O$22,2),HLOOKUP(AD$6,СГИ!$P$1:$AI$2,2)))=1,CONCATENATE("при измерении ",$P21," ",AD$6," не допускается ! "),"")</f>
      </c>
      <c r="AE21" s="277">
        <f>IF(IF(ISNA(INDEX(СГИ!$P$3:$AI$22,VLOOKUP($P21,СГИ!$N$3:$O$22,2),HLOOKUP(AE$6,СГИ!$P$1:$AI$2,2))),"",INDEX(СГИ!$P$3:$AI$22,VLOOKUP($P21,СГИ!$N$3:$O$22,2),HLOOKUP(AE$6,СГИ!$P$1:$AI$2,2)))=1,CONCATENATE("при измерении ",$P21," ",AE$6," не допускается ! "),"")</f>
      </c>
      <c r="AF21" s="277">
        <f>IF(IF(ISNA(INDEX(СГИ!$P$3:$AI$22,VLOOKUP($P21,СГИ!$N$3:$O$22,2),HLOOKUP(AF$6,СГИ!$P$1:$AI$2,2))),"",INDEX(СГИ!$P$3:$AI$22,VLOOKUP($P21,СГИ!$N$3:$O$22,2),HLOOKUP(AF$6,СГИ!$P$1:$AI$2,2)))=1,CONCATENATE("при измерении ",$P21," ",AF$6," не допускается ! "),"")</f>
      </c>
      <c r="AG21" s="277">
        <f>IF(IF(ISNA(INDEX(СГИ!$P$3:$AI$22,VLOOKUP($P21,СГИ!$N$3:$O$22,2),HLOOKUP(AG$6,СГИ!$P$1:$AI$2,2))),"",INDEX(СГИ!$P$3:$AI$22,VLOOKUP($P21,СГИ!$N$3:$O$22,2),HLOOKUP(AG$6,СГИ!$P$1:$AI$2,2)))=1,CONCATENATE("при измерении ",$P21," ",AG$6," не допускается ! "),"")</f>
      </c>
      <c r="AH21" s="372">
        <f>IF(IF(ISNA(INDEX(СГИ!$P$3:$AI$22,VLOOKUP($P21,СГИ!$N$3:$O$22,2),HLOOKUP(AH$6,СГИ!$P$1:$AI$2,2))),"",INDEX(СГИ!$P$3:$AI$22,VLOOKUP($P21,СГИ!$N$3:$O$22,2),HLOOKUP(AH$6,СГИ!$P$1:$AI$2,2)))=1,CONCATENATE("при измерении ",$P21," ",AH$6," не допускается ! "),"")</f>
      </c>
      <c r="AI21">
        <f t="shared" si="3"/>
      </c>
    </row>
    <row r="22" spans="1:35" ht="21" customHeight="1">
      <c r="A22" s="351"/>
      <c r="B22" s="383"/>
      <c r="C22" s="383"/>
      <c r="D22" s="393" t="s">
        <v>441</v>
      </c>
      <c r="E22" s="394"/>
      <c r="F22" s="395" t="str">
        <f t="shared" si="1"/>
        <v>&lt;- введите данные, где необходимо</v>
      </c>
      <c r="G22" s="396"/>
      <c r="H22" s="853" t="s">
        <v>407</v>
      </c>
      <c r="I22" s="873">
        <v>0.05</v>
      </c>
      <c r="J22" s="885">
        <f t="shared" si="4"/>
      </c>
      <c r="K22" s="337">
        <f t="shared" si="2"/>
        <v>0</v>
      </c>
      <c r="L22" s="344">
        <f>IF(K7=1,"92","")</f>
      </c>
      <c r="N22" s="371">
        <f>IF(E22&gt;0,ПГ!D22,"")</f>
      </c>
      <c r="P22" s="276">
        <f t="shared" si="0"/>
      </c>
      <c r="Q22" s="277">
        <f>IF(IF(ISNA(INDEX(СГИ!$P$3:$AI$22,VLOOKUP($P22,СГИ!$N$3:$O$22,2),HLOOKUP(Q$6,СГИ!$P$1:$AI$2,2))),"",INDEX(СГИ!$P$3:$AI$22,VLOOKUP($P22,СГИ!$N$3:$O$22,2),HLOOKUP(Q$6,СГИ!$P$1:$AI$2,2)))=1,CONCATENATE("при измерении ",$P22," ",Q$6," не допускается ! "),"")</f>
      </c>
      <c r="R22" s="277">
        <f>IF(IF(ISNA(INDEX(СГИ!$P$3:$AI$22,VLOOKUP($P22,СГИ!$N$3:$O$22,2),HLOOKUP(R$6,СГИ!$P$1:$AI$2,2))),"",INDEX(СГИ!$P$3:$AI$22,VLOOKUP($P22,СГИ!$N$3:$O$22,2),HLOOKUP(R$6,СГИ!$P$1:$AI$2,2)))=1,CONCATENATE("при измерении ",$P22," ",R$6," не допускается ! "),"")</f>
      </c>
      <c r="S22" s="277">
        <f>IF(IF(ISNA(INDEX(СГИ!$P$3:$AI$22,VLOOKUP($P22,СГИ!$N$3:$O$22,2),HLOOKUP(S$6,СГИ!$P$1:$AI$2,2))),"",INDEX(СГИ!$P$3:$AI$22,VLOOKUP($P22,СГИ!$N$3:$O$22,2),HLOOKUP(S$6,СГИ!$P$1:$AI$2,2)))=1,CONCATENATE("при измерении ",$P22," ",S$6," не допускается ! "),"")</f>
      </c>
      <c r="T22" s="277">
        <f>IF(IF(ISNA(INDEX(СГИ!$P$3:$AI$22,VLOOKUP($P22,СГИ!$N$3:$O$22,2),HLOOKUP(T$6,СГИ!$P$1:$AI$2,2))),"",INDEX(СГИ!$P$3:$AI$22,VLOOKUP($P22,СГИ!$N$3:$O$22,2),HLOOKUP(T$6,СГИ!$P$1:$AI$2,2)))=1,CONCATENATE("при измерении ",$P22," ",T$6," не допускается ! "),"")</f>
      </c>
      <c r="U22" s="277">
        <f>IF(IF(ISNA(INDEX(СГИ!$P$3:$AI$22,VLOOKUP($P22,СГИ!$N$3:$O$22,2),HLOOKUP(U$6,СГИ!$P$1:$AI$2,2))),"",INDEX(СГИ!$P$3:$AI$22,VLOOKUP($P22,СГИ!$N$3:$O$22,2),HLOOKUP(U$6,СГИ!$P$1:$AI$2,2)))=1,CONCATENATE("при измерении ",$P22," ",U$6," не допускается ! "),"")</f>
      </c>
      <c r="V22" s="277">
        <f>IF(IF(ISNA(INDEX(СГИ!$P$3:$AI$22,VLOOKUP($P22,СГИ!$N$3:$O$22,2),HLOOKUP(V$6,СГИ!$P$1:$AI$2,2))),"",INDEX(СГИ!$P$3:$AI$22,VLOOKUP($P22,СГИ!$N$3:$O$22,2),HLOOKUP(V$6,СГИ!$P$1:$AI$2,2)))=1,CONCATENATE("при измерении ",$P22," ",V$6," не допускается ! "),"")</f>
      </c>
      <c r="W22" s="277">
        <f>IF(IF(ISNA(INDEX(СГИ!$P$3:$AI$22,VLOOKUP($P22,СГИ!$N$3:$O$22,2),HLOOKUP(W$6,СГИ!$P$1:$AI$2,2))),"",INDEX(СГИ!$P$3:$AI$22,VLOOKUP($P22,СГИ!$N$3:$O$22,2),HLOOKUP(W$6,СГИ!$P$1:$AI$2,2)))=1,CONCATENATE("при измерении ",$P22," ",W$6," не допускается ! "),"")</f>
      </c>
      <c r="X22" s="277">
        <f>IF(IF(ISNA(INDEX(СГИ!$P$3:$AI$22,VLOOKUP($P22,СГИ!$N$3:$O$22,2),HLOOKUP(X$6,СГИ!$P$1:$AI$2,2))),"",INDEX(СГИ!$P$3:$AI$22,VLOOKUP($P22,СГИ!$N$3:$O$22,2),HLOOKUP(X$6,СГИ!$P$1:$AI$2,2)))=1,CONCATENATE("при измерении ",$P22," ",X$6," не допускается ! "),"")</f>
      </c>
      <c r="Y22" s="277">
        <f>IF(IF(ISNA(INDEX(СГИ!$P$3:$AI$22,VLOOKUP($P22,СГИ!$N$3:$O$22,2),HLOOKUP(Y$6,СГИ!$P$1:$AI$2,2))),"",INDEX(СГИ!$P$3:$AI$22,VLOOKUP($P22,СГИ!$N$3:$O$22,2),HLOOKUP(Y$6,СГИ!$P$1:$AI$2,2)))=1,CONCATENATE("при измерении ",$P22," ",Y$6," не допускается ! "),"")</f>
      </c>
      <c r="Z22" s="277">
        <f>IF(IF(ISNA(INDEX(СГИ!$P$3:$AI$22,VLOOKUP($P22,СГИ!$N$3:$O$22,2),HLOOKUP(Z$6,СГИ!$P$1:$AI$2,2))),"",INDEX(СГИ!$P$3:$AI$22,VLOOKUP($P22,СГИ!$N$3:$O$22,2),HLOOKUP(Z$6,СГИ!$P$1:$AI$2,2)))=1,CONCATENATE("при измерении ",$P22," ",Z$6," не допускается ! "),"")</f>
      </c>
      <c r="AA22" s="277">
        <f>IF(IF(ISNA(INDEX(СГИ!$P$3:$AI$22,VLOOKUP($P22,СГИ!$N$3:$O$22,2),HLOOKUP(AA$6,СГИ!$P$1:$AI$2,2))),"",INDEX(СГИ!$P$3:$AI$22,VLOOKUP($P22,СГИ!$N$3:$O$22,2),HLOOKUP(AA$6,СГИ!$P$1:$AI$2,2)))=1,CONCATENATE("при измерении ",$P22," ",AA$6," не допускается ! "),"")</f>
      </c>
      <c r="AB22" s="277">
        <f>IF(IF(ISNA(INDEX(СГИ!$P$3:$AI$22,VLOOKUP($P22,СГИ!$N$3:$O$22,2),HLOOKUP(AB$6,СГИ!$P$1:$AI$2,2))),"",INDEX(СГИ!$P$3:$AI$22,VLOOKUP($P22,СГИ!$N$3:$O$22,2),HLOOKUP(AB$6,СГИ!$P$1:$AI$2,2)))=1,CONCATENATE("при измерении ",$P22," ",AB$6," не допускается ! "),"")</f>
      </c>
      <c r="AC22" s="277">
        <f>IF(IF(ISNA(INDEX(СГИ!$P$3:$AI$22,VLOOKUP($P22,СГИ!$N$3:$O$22,2),HLOOKUP(AC$6,СГИ!$P$1:$AI$2,2))),"",INDEX(СГИ!$P$3:$AI$22,VLOOKUP($P22,СГИ!$N$3:$O$22,2),HLOOKUP(AC$6,СГИ!$P$1:$AI$2,2)))=1,CONCATENATE("при измерении ",$P22," ",AC$6," не допускается ! "),"")</f>
      </c>
      <c r="AD22" s="277">
        <f>IF(IF(ISNA(INDEX(СГИ!$P$3:$AI$22,VLOOKUP($P22,СГИ!$N$3:$O$22,2),HLOOKUP(AD$6,СГИ!$P$1:$AI$2,2))),"",INDEX(СГИ!$P$3:$AI$22,VLOOKUP($P22,СГИ!$N$3:$O$22,2),HLOOKUP(AD$6,СГИ!$P$1:$AI$2,2)))=1,CONCATENATE("при измерении ",$P22," ",AD$6," не допускается ! "),"")</f>
      </c>
      <c r="AE22" s="277">
        <f>IF(IF(ISNA(INDEX(СГИ!$P$3:$AI$22,VLOOKUP($P22,СГИ!$N$3:$O$22,2),HLOOKUP(AE$6,СГИ!$P$1:$AI$2,2))),"",INDEX(СГИ!$P$3:$AI$22,VLOOKUP($P22,СГИ!$N$3:$O$22,2),HLOOKUP(AE$6,СГИ!$P$1:$AI$2,2)))=1,CONCATENATE("при измерении ",$P22," ",AE$6," не допускается ! "),"")</f>
      </c>
      <c r="AF22" s="277">
        <f>IF(IF(ISNA(INDEX(СГИ!$P$3:$AI$22,VLOOKUP($P22,СГИ!$N$3:$O$22,2),HLOOKUP(AF$6,СГИ!$P$1:$AI$2,2))),"",INDEX(СГИ!$P$3:$AI$22,VLOOKUP($P22,СГИ!$N$3:$O$22,2),HLOOKUP(AF$6,СГИ!$P$1:$AI$2,2)))=1,CONCATENATE("при измерении ",$P22," ",AF$6," не допускается ! "),"")</f>
      </c>
      <c r="AG22" s="277">
        <f>IF(IF(ISNA(INDEX(СГИ!$P$3:$AI$22,VLOOKUP($P22,СГИ!$N$3:$O$22,2),HLOOKUP(AG$6,СГИ!$P$1:$AI$2,2))),"",INDEX(СГИ!$P$3:$AI$22,VLOOKUP($P22,СГИ!$N$3:$O$22,2),HLOOKUP(AG$6,СГИ!$P$1:$AI$2,2)))=1,CONCATENATE("при измерении ",$P22," ",AG$6," не допускается ! "),"")</f>
      </c>
      <c r="AH22" s="372">
        <f>IF(IF(ISNA(INDEX(СГИ!$P$3:$AI$22,VLOOKUP($P22,СГИ!$N$3:$O$22,2),HLOOKUP(AH$6,СГИ!$P$1:$AI$2,2))),"",INDEX(СГИ!$P$3:$AI$22,VLOOKUP($P22,СГИ!$N$3:$O$22,2),HLOOKUP(AH$6,СГИ!$P$1:$AI$2,2)))=1,CONCATENATE("при измерении ",$P22," ",AH$6," не допускается ! "),"")</f>
      </c>
      <c r="AI22">
        <f t="shared" si="3"/>
      </c>
    </row>
    <row r="23" spans="1:35" ht="21.75" customHeight="1">
      <c r="A23" s="351"/>
      <c r="B23" s="383"/>
      <c r="C23" s="383"/>
      <c r="D23" s="332" t="s">
        <v>117</v>
      </c>
      <c r="E23" s="397"/>
      <c r="F23" s="369" t="str">
        <f t="shared" si="1"/>
        <v>&lt;- введите данные, где необходимо</v>
      </c>
      <c r="G23"/>
      <c r="H23" s="874" t="s">
        <v>409</v>
      </c>
      <c r="I23" s="875" t="str">
        <f>IF(I13="проверьте ввод данных","--",IF($I22&gt;0.2,"скидка указана неверно",ROUND(I13*(1-$I22),2)))</f>
        <v>--</v>
      </c>
      <c r="J23" s="885">
        <f t="shared" si="4"/>
      </c>
      <c r="K23" s="337">
        <f t="shared" si="2"/>
        <v>0</v>
      </c>
      <c r="L23" s="347">
        <f>IF(AND(K25+K13&gt;0,K25+K13&lt;4),"М","")</f>
      </c>
      <c r="N23" s="371">
        <f>IF(E23&gt;0,ПГ!D23,"")</f>
      </c>
      <c r="P23" s="276">
        <f t="shared" si="0"/>
      </c>
      <c r="Q23" s="277">
        <f>IF(IF(ISNA(INDEX(СГИ!$P$3:$AI$22,VLOOKUP($P23,СГИ!$N$3:$O$22,2),HLOOKUP(Q$6,СГИ!$P$1:$AI$2,2))),"",INDEX(СГИ!$P$3:$AI$22,VLOOKUP($P23,СГИ!$N$3:$O$22,2),HLOOKUP(Q$6,СГИ!$P$1:$AI$2,2)))=1,CONCATENATE("при измерении ",$P23," ",Q$6," не допускается ! "),"")</f>
      </c>
      <c r="R23" s="277">
        <f>IF(IF(ISNA(INDEX(СГИ!$P$3:$AI$22,VLOOKUP($P23,СГИ!$N$3:$O$22,2),HLOOKUP(R$6,СГИ!$P$1:$AI$2,2))),"",INDEX(СГИ!$P$3:$AI$22,VLOOKUP($P23,СГИ!$N$3:$O$22,2),HLOOKUP(R$6,СГИ!$P$1:$AI$2,2)))=1,CONCATENATE("при измерении ",$P23," ",R$6," не допускается ! "),"")</f>
      </c>
      <c r="S23" s="277">
        <f>IF(IF(ISNA(INDEX(СГИ!$P$3:$AI$22,VLOOKUP($P23,СГИ!$N$3:$O$22,2),HLOOKUP(S$6,СГИ!$P$1:$AI$2,2))),"",INDEX(СГИ!$P$3:$AI$22,VLOOKUP($P23,СГИ!$N$3:$O$22,2),HLOOKUP(S$6,СГИ!$P$1:$AI$2,2)))=1,CONCATENATE("при измерении ",$P23," ",S$6," не допускается ! "),"")</f>
      </c>
      <c r="T23" s="277">
        <f>IF(IF(ISNA(INDEX(СГИ!$P$3:$AI$22,VLOOKUP($P23,СГИ!$N$3:$O$22,2),HLOOKUP(T$6,СГИ!$P$1:$AI$2,2))),"",INDEX(СГИ!$P$3:$AI$22,VLOOKUP($P23,СГИ!$N$3:$O$22,2),HLOOKUP(T$6,СГИ!$P$1:$AI$2,2)))=1,CONCATENATE("при измерении ",$P23," ",T$6," не допускается ! "),"")</f>
      </c>
      <c r="U23" s="277">
        <f>IF(IF(ISNA(INDEX(СГИ!$P$3:$AI$22,VLOOKUP($P23,СГИ!$N$3:$O$22,2),HLOOKUP(U$6,СГИ!$P$1:$AI$2,2))),"",INDEX(СГИ!$P$3:$AI$22,VLOOKUP($P23,СГИ!$N$3:$O$22,2),HLOOKUP(U$6,СГИ!$P$1:$AI$2,2)))=1,CONCATENATE("при измерении ",$P23," ",U$6," не допускается ! "),"")</f>
      </c>
      <c r="V23" s="277">
        <f>IF(IF(ISNA(INDEX(СГИ!$P$3:$AI$22,VLOOKUP($P23,СГИ!$N$3:$O$22,2),HLOOKUP(V$6,СГИ!$P$1:$AI$2,2))),"",INDEX(СГИ!$P$3:$AI$22,VLOOKUP($P23,СГИ!$N$3:$O$22,2),HLOOKUP(V$6,СГИ!$P$1:$AI$2,2)))=1,CONCATENATE("при измерении ",$P23," ",V$6," не допускается ! "),"")</f>
      </c>
      <c r="W23" s="277">
        <f>IF(IF(ISNA(INDEX(СГИ!$P$3:$AI$22,VLOOKUP($P23,СГИ!$N$3:$O$22,2),HLOOKUP(W$6,СГИ!$P$1:$AI$2,2))),"",INDEX(СГИ!$P$3:$AI$22,VLOOKUP($P23,СГИ!$N$3:$O$22,2),HLOOKUP(W$6,СГИ!$P$1:$AI$2,2)))=1,CONCATENATE("при измерении ",$P23," ",W$6," не допускается ! "),"")</f>
      </c>
      <c r="X23" s="277">
        <f>IF(IF(ISNA(INDEX(СГИ!$P$3:$AI$22,VLOOKUP($P23,СГИ!$N$3:$O$22,2),HLOOKUP(X$6,СГИ!$P$1:$AI$2,2))),"",INDEX(СГИ!$P$3:$AI$22,VLOOKUP($P23,СГИ!$N$3:$O$22,2),HLOOKUP(X$6,СГИ!$P$1:$AI$2,2)))=1,CONCATENATE("при измерении ",$P23," ",X$6," не допускается ! "),"")</f>
      </c>
      <c r="Y23" s="277">
        <f>IF(IF(ISNA(INDEX(СГИ!$P$3:$AI$22,VLOOKUP($P23,СГИ!$N$3:$O$22,2),HLOOKUP(Y$6,СГИ!$P$1:$AI$2,2))),"",INDEX(СГИ!$P$3:$AI$22,VLOOKUP($P23,СГИ!$N$3:$O$22,2),HLOOKUP(Y$6,СГИ!$P$1:$AI$2,2)))=1,CONCATENATE("при измерении ",$P23," ",Y$6," не допускается ! "),"")</f>
      </c>
      <c r="Z23" s="277">
        <f>IF(IF(ISNA(INDEX(СГИ!$P$3:$AI$22,VLOOKUP($P23,СГИ!$N$3:$O$22,2),HLOOKUP(Z$6,СГИ!$P$1:$AI$2,2))),"",INDEX(СГИ!$P$3:$AI$22,VLOOKUP($P23,СГИ!$N$3:$O$22,2),HLOOKUP(Z$6,СГИ!$P$1:$AI$2,2)))=1,CONCATENATE("при измерении ",$P23," ",Z$6," не допускается ! "),"")</f>
      </c>
      <c r="AA23" s="277">
        <f>IF(IF(ISNA(INDEX(СГИ!$P$3:$AI$22,VLOOKUP($P23,СГИ!$N$3:$O$22,2),HLOOKUP(AA$6,СГИ!$P$1:$AI$2,2))),"",INDEX(СГИ!$P$3:$AI$22,VLOOKUP($P23,СГИ!$N$3:$O$22,2),HLOOKUP(AA$6,СГИ!$P$1:$AI$2,2)))=1,CONCATENATE("при измерении ",$P23," ",AA$6," не допускается ! "),"")</f>
      </c>
      <c r="AB23" s="277">
        <f>IF(IF(ISNA(INDEX(СГИ!$P$3:$AI$22,VLOOKUP($P23,СГИ!$N$3:$O$22,2),HLOOKUP(AB$6,СГИ!$P$1:$AI$2,2))),"",INDEX(СГИ!$P$3:$AI$22,VLOOKUP($P23,СГИ!$N$3:$O$22,2),HLOOKUP(AB$6,СГИ!$P$1:$AI$2,2)))=1,CONCATENATE("при измерении ",$P23," ",AB$6," не допускается ! "),"")</f>
      </c>
      <c r="AC23" s="277">
        <f>IF(IF(ISNA(INDEX(СГИ!$P$3:$AI$22,VLOOKUP($P23,СГИ!$N$3:$O$22,2),HLOOKUP(AC$6,СГИ!$P$1:$AI$2,2))),"",INDEX(СГИ!$P$3:$AI$22,VLOOKUP($P23,СГИ!$N$3:$O$22,2),HLOOKUP(AC$6,СГИ!$P$1:$AI$2,2)))=1,CONCATENATE("при измерении ",$P23," ",AC$6," не допускается ! "),"")</f>
      </c>
      <c r="AD23" s="277">
        <f>IF(IF(ISNA(INDEX(СГИ!$P$3:$AI$22,VLOOKUP($P23,СГИ!$N$3:$O$22,2),HLOOKUP(AD$6,СГИ!$P$1:$AI$2,2))),"",INDEX(СГИ!$P$3:$AI$22,VLOOKUP($P23,СГИ!$N$3:$O$22,2),HLOOKUP(AD$6,СГИ!$P$1:$AI$2,2)))=1,CONCATENATE("при измерении ",$P23," ",AD$6," не допускается ! "),"")</f>
      </c>
      <c r="AE23" s="277">
        <f>IF(IF(ISNA(INDEX(СГИ!$P$3:$AI$22,VLOOKUP($P23,СГИ!$N$3:$O$22,2),HLOOKUP(AE$6,СГИ!$P$1:$AI$2,2))),"",INDEX(СГИ!$P$3:$AI$22,VLOOKUP($P23,СГИ!$N$3:$O$22,2),HLOOKUP(AE$6,СГИ!$P$1:$AI$2,2)))=1,CONCATENATE("при измерении ",$P23," ",AE$6," не допускается ! "),"")</f>
      </c>
      <c r="AF23" s="277">
        <f>IF(IF(ISNA(INDEX(СГИ!$P$3:$AI$22,VLOOKUP($P23,СГИ!$N$3:$O$22,2),HLOOKUP(AF$6,СГИ!$P$1:$AI$2,2))),"",INDEX(СГИ!$P$3:$AI$22,VLOOKUP($P23,СГИ!$N$3:$O$22,2),HLOOKUP(AF$6,СГИ!$P$1:$AI$2,2)))=1,CONCATENATE("при измерении ",$P23," ",AF$6," не допускается ! "),"")</f>
      </c>
      <c r="AG23" s="277">
        <f>IF(IF(ISNA(INDEX(СГИ!$P$3:$AI$22,VLOOKUP($P23,СГИ!$N$3:$O$22,2),HLOOKUP(AG$6,СГИ!$P$1:$AI$2,2))),"",INDEX(СГИ!$P$3:$AI$22,VLOOKUP($P23,СГИ!$N$3:$O$22,2),HLOOKUP(AG$6,СГИ!$P$1:$AI$2,2)))=1,CONCATENATE("при измерении ",$P23," ",AG$6," не допускается ! "),"")</f>
      </c>
      <c r="AH23" s="372">
        <f>IF(IF(ISNA(INDEX(СГИ!$P$3:$AI$22,VLOOKUP($P23,СГИ!$N$3:$O$22,2),HLOOKUP(AH$6,СГИ!$P$1:$AI$2,2))),"",INDEX(СГИ!$P$3:$AI$22,VLOOKUP($P23,СГИ!$N$3:$O$22,2),HLOOKUP(AH$6,СГИ!$P$1:$AI$2,2)))=1,CONCATENATE("при измерении ",$P23," ",AH$6," не допускается ! "),"")</f>
      </c>
      <c r="AI23">
        <f t="shared" si="3"/>
      </c>
    </row>
    <row r="24" spans="1:35" ht="21" customHeight="1">
      <c r="A24" s="351"/>
      <c r="B24" s="383"/>
      <c r="C24" s="383"/>
      <c r="D24" s="339" t="s">
        <v>408</v>
      </c>
      <c r="E24" s="398"/>
      <c r="F24" s="369" t="str">
        <f t="shared" si="1"/>
        <v>&lt;- введите данные, где необходимо</v>
      </c>
      <c r="G24"/>
      <c r="J24" s="283">
        <f t="shared" si="4"/>
      </c>
      <c r="K24" s="341">
        <f t="shared" si="2"/>
        <v>0</v>
      </c>
      <c r="L24" s="349">
        <f>IF(K26&gt;0,"Т","")</f>
      </c>
      <c r="N24" s="399">
        <f>IF(E24&gt;0,ПГ!D24,"")</f>
      </c>
      <c r="P24" s="400">
        <f t="shared" si="0"/>
      </c>
      <c r="Q24" s="401">
        <f>IF(IF(ISNA(INDEX(СГИ!$P$3:$AI$22,VLOOKUP($P24,СГИ!$N$3:$O$22,2),HLOOKUP(Q$6,СГИ!$P$1:$AI$2,2))),"",INDEX(СГИ!$P$3:$AI$22,VLOOKUP($P24,СГИ!$N$3:$O$22,2),HLOOKUP(Q$6,СГИ!$P$1:$AI$2,2)))=1,CONCATENATE("при измерении ",$P24," ",Q$6," не допускается ! "),"")</f>
      </c>
      <c r="R24" s="401">
        <f>IF(IF(ISNA(INDEX(СГИ!$P$3:$AI$22,VLOOKUP($P24,СГИ!$N$3:$O$22,2),HLOOKUP(R$6,СГИ!$P$1:$AI$2,2))),"",INDEX(СГИ!$P$3:$AI$22,VLOOKUP($P24,СГИ!$N$3:$O$22,2),HLOOKUP(R$6,СГИ!$P$1:$AI$2,2)))=1,CONCATENATE("при измерении ",$P24," ",R$6," не допускается ! "),"")</f>
      </c>
      <c r="S24" s="401">
        <f>IF(IF(ISNA(INDEX(СГИ!$P$3:$AI$22,VLOOKUP($P24,СГИ!$N$3:$O$22,2),HLOOKUP(S$6,СГИ!$P$1:$AI$2,2))),"",INDEX(СГИ!$P$3:$AI$22,VLOOKUP($P24,СГИ!$N$3:$O$22,2),HLOOKUP(S$6,СГИ!$P$1:$AI$2,2)))=1,CONCATENATE("при измерении ",$P24," ",S$6," не допускается ! "),"")</f>
      </c>
      <c r="T24" s="401">
        <f>IF(IF(ISNA(INDEX(СГИ!$P$3:$AI$22,VLOOKUP($P24,СГИ!$N$3:$O$22,2),HLOOKUP(T$6,СГИ!$P$1:$AI$2,2))),"",INDEX(СГИ!$P$3:$AI$22,VLOOKUP($P24,СГИ!$N$3:$O$22,2),HLOOKUP(T$6,СГИ!$P$1:$AI$2,2)))=1,CONCATENATE("при измерении ",$P24," ",T$6," не допускается ! "),"")</f>
      </c>
      <c r="U24" s="401">
        <f>IF(IF(ISNA(INDEX(СГИ!$P$3:$AI$22,VLOOKUP($P24,СГИ!$N$3:$O$22,2),HLOOKUP(U$6,СГИ!$P$1:$AI$2,2))),"",INDEX(СГИ!$P$3:$AI$22,VLOOKUP($P24,СГИ!$N$3:$O$22,2),HLOOKUP(U$6,СГИ!$P$1:$AI$2,2)))=1,CONCATENATE("при измерении ",$P24," ",U$6," не допускается ! "),"")</f>
      </c>
      <c r="V24" s="401">
        <f>IF(IF(ISNA(INDEX(СГИ!$P$3:$AI$22,VLOOKUP($P24,СГИ!$N$3:$O$22,2),HLOOKUP(V$6,СГИ!$P$1:$AI$2,2))),"",INDEX(СГИ!$P$3:$AI$22,VLOOKUP($P24,СГИ!$N$3:$O$22,2),HLOOKUP(V$6,СГИ!$P$1:$AI$2,2)))=1,CONCATENATE("при измерении ",$P24," ",V$6," не допускается ! "),"")</f>
      </c>
      <c r="W24" s="401">
        <f>IF(IF(ISNA(INDEX(СГИ!$P$3:$AI$22,VLOOKUP($P24,СГИ!$N$3:$O$22,2),HLOOKUP(W$6,СГИ!$P$1:$AI$2,2))),"",INDEX(СГИ!$P$3:$AI$22,VLOOKUP($P24,СГИ!$N$3:$O$22,2),HLOOKUP(W$6,СГИ!$P$1:$AI$2,2)))=1,CONCATENATE("при измерении ",$P24," ",W$6," не допускается ! "),"")</f>
      </c>
      <c r="X24" s="401">
        <f>IF(IF(ISNA(INDEX(СГИ!$P$3:$AI$22,VLOOKUP($P24,СГИ!$N$3:$O$22,2),HLOOKUP(X$6,СГИ!$P$1:$AI$2,2))),"",INDEX(СГИ!$P$3:$AI$22,VLOOKUP($P24,СГИ!$N$3:$O$22,2),HLOOKUP(X$6,СГИ!$P$1:$AI$2,2)))=1,CONCATENATE("при измерении ",$P24," ",X$6," не допускается ! "),"")</f>
      </c>
      <c r="Y24" s="401">
        <f>IF(IF(ISNA(INDEX(СГИ!$P$3:$AI$22,VLOOKUP($P24,СГИ!$N$3:$O$22,2),HLOOKUP(Y$6,СГИ!$P$1:$AI$2,2))),"",INDEX(СГИ!$P$3:$AI$22,VLOOKUP($P24,СГИ!$N$3:$O$22,2),HLOOKUP(Y$6,СГИ!$P$1:$AI$2,2)))=1,CONCATENATE("при измерении ",$P24," ",Y$6," не допускается ! "),"")</f>
      </c>
      <c r="Z24" s="401">
        <f>IF(IF(ISNA(INDEX(СГИ!$P$3:$AI$22,VLOOKUP($P24,СГИ!$N$3:$O$22,2),HLOOKUP(Z$6,СГИ!$P$1:$AI$2,2))),"",INDEX(СГИ!$P$3:$AI$22,VLOOKUP($P24,СГИ!$N$3:$O$22,2),HLOOKUP(Z$6,СГИ!$P$1:$AI$2,2)))=1,CONCATENATE("при измерении ",$P24," ",Z$6," не допускается ! "),"")</f>
      </c>
      <c r="AA24" s="401">
        <f>IF(IF(ISNA(INDEX(СГИ!$P$3:$AI$22,VLOOKUP($P24,СГИ!$N$3:$O$22,2),HLOOKUP(AA$6,СГИ!$P$1:$AI$2,2))),"",INDEX(СГИ!$P$3:$AI$22,VLOOKUP($P24,СГИ!$N$3:$O$22,2),HLOOKUP(AA$6,СГИ!$P$1:$AI$2,2)))=1,CONCATENATE("при измерении ",$P24," ",AA$6," не допускается ! "),"")</f>
      </c>
      <c r="AB24" s="401">
        <f>IF(IF(ISNA(INDEX(СГИ!$P$3:$AI$22,VLOOKUP($P24,СГИ!$N$3:$O$22,2),HLOOKUP(AB$6,СГИ!$P$1:$AI$2,2))),"",INDEX(СГИ!$P$3:$AI$22,VLOOKUP($P24,СГИ!$N$3:$O$22,2),HLOOKUP(AB$6,СГИ!$P$1:$AI$2,2)))=1,CONCATENATE("при измерении ",$P24," ",AB$6," не допускается ! "),"")</f>
      </c>
      <c r="AC24" s="401">
        <f>IF(IF(ISNA(INDEX(СГИ!$P$3:$AI$22,VLOOKUP($P24,СГИ!$N$3:$O$22,2),HLOOKUP(AC$6,СГИ!$P$1:$AI$2,2))),"",INDEX(СГИ!$P$3:$AI$22,VLOOKUP($P24,СГИ!$N$3:$O$22,2),HLOOKUP(AC$6,СГИ!$P$1:$AI$2,2)))=1,CONCATENATE("при измерении ",$P24," ",AC$6," не допускается ! "),"")</f>
      </c>
      <c r="AD24" s="401">
        <f>IF(IF(ISNA(INDEX(СГИ!$P$3:$AI$22,VLOOKUP($P24,СГИ!$N$3:$O$22,2),HLOOKUP(AD$6,СГИ!$P$1:$AI$2,2))),"",INDEX(СГИ!$P$3:$AI$22,VLOOKUP($P24,СГИ!$N$3:$O$22,2),HLOOKUP(AD$6,СГИ!$P$1:$AI$2,2)))=1,CONCATENATE("при измерении ",$P24," ",AD$6," не допускается ! "),"")</f>
      </c>
      <c r="AE24" s="401">
        <f>IF(IF(ISNA(INDEX(СГИ!$P$3:$AI$22,VLOOKUP($P24,СГИ!$N$3:$O$22,2),HLOOKUP(AE$6,СГИ!$P$1:$AI$2,2))),"",INDEX(СГИ!$P$3:$AI$22,VLOOKUP($P24,СГИ!$N$3:$O$22,2),HLOOKUP(AE$6,СГИ!$P$1:$AI$2,2)))=1,CONCATENATE("при измерении ",$P24," ",AE$6," не допускается ! "),"")</f>
      </c>
      <c r="AF24" s="401">
        <f>IF(IF(ISNA(INDEX(СГИ!$P$3:$AI$22,VLOOKUP($P24,СГИ!$N$3:$O$22,2),HLOOKUP(AF$6,СГИ!$P$1:$AI$2,2))),"",INDEX(СГИ!$P$3:$AI$22,VLOOKUP($P24,СГИ!$N$3:$O$22,2),HLOOKUP(AF$6,СГИ!$P$1:$AI$2,2)))=1,CONCATENATE("при измерении ",$P24," ",AF$6," не допускается ! "),"")</f>
      </c>
      <c r="AG24" s="401">
        <f>IF(IF(ISNA(INDEX(СГИ!$P$3:$AI$22,VLOOKUP($P24,СГИ!$N$3:$O$22,2),HLOOKUP(AG$6,СГИ!$P$1:$AI$2,2))),"",INDEX(СГИ!$P$3:$AI$22,VLOOKUP($P24,СГИ!$N$3:$O$22,2),HLOOKUP(AG$6,СГИ!$P$1:$AI$2,2)))=1,CONCATENATE("при измерении ",$P24," ",AG$6," не допускается ! "),"")</f>
      </c>
      <c r="AH24" s="402">
        <f>IF(IF(ISNA(INDEX(СГИ!$P$3:$AI$22,VLOOKUP($P24,СГИ!$N$3:$O$22,2),HLOOKUP(AH$6,СГИ!$P$1:$AI$2,2))),"",INDEX(СГИ!$P$3:$AI$22,VLOOKUP($P24,СГИ!$N$3:$O$22,2),HLOOKUP(AH$6,СГИ!$P$1:$AI$2,2)))=1,CONCATENATE("при измерении ",$P24," ",AH$6," не допускается ! "),"")</f>
      </c>
      <c r="AI24">
        <f t="shared" si="3"/>
      </c>
    </row>
    <row r="25" spans="1:13" ht="22.5">
      <c r="A25" s="351"/>
      <c r="B25" s="893"/>
      <c r="C25" s="403"/>
      <c r="D25" s="404" t="s">
        <v>442</v>
      </c>
      <c r="E25" s="405"/>
      <c r="J25" s="316" t="s">
        <v>412</v>
      </c>
      <c r="K25" s="342">
        <f>SUM(K8:K12)</f>
        <v>0</v>
      </c>
      <c r="L25" s="343">
        <f>IF(K25-K8-K9&gt;1,"углеводороды не определяются селективно","")</f>
      </c>
      <c r="M25" s="364"/>
    </row>
    <row r="26" spans="1:12" ht="24.75" thickBot="1">
      <c r="A26" s="351"/>
      <c r="C26" s="406"/>
      <c r="D26" s="407" t="s">
        <v>443</v>
      </c>
      <c r="E26" s="408"/>
      <c r="F26" s="717">
        <f>IF(E26=1,"допустимые варианты: а) CH4 и не более 2 каналов токсичных газов и кислорода;","")</f>
      </c>
      <c r="H26" s="409"/>
      <c r="I26" s="218"/>
      <c r="J26" s="316" t="s">
        <v>415</v>
      </c>
      <c r="K26" s="346">
        <f>SUM(K14:K24)</f>
        <v>0</v>
      </c>
      <c r="L26" s="322" t="str">
        <f>IF(L25="",IF(K27&gt;0,CONCATENATE("ОКА-",L22,L23,L24,IF(K27=K7,"",J7),IF(K27=K8,", град. по H2",J8),IF(K27=K9,", град. по CO",J9),IF(K27=K10,", град. по CH4",J10),IF(K27=K11,", град. по C3H8",J11),IF(K27=K12,", град. по C6H14",J12),IF(K27=K13,", град. по CH4",J13),J14,J15,J16,J17,J18,J19,J20,J22,J23,J24),"данные не введены"),L25)</f>
        <v>данные не введены</v>
      </c>
    </row>
    <row r="27" spans="1:16" s="410" customFormat="1" ht="29.25" customHeight="1" thickBot="1">
      <c r="A27" s="1"/>
      <c r="B27" s="1"/>
      <c r="C27" s="1"/>
      <c r="D27" s="1"/>
      <c r="E27" s="1"/>
      <c r="F27" s="717">
        <f>IF(E26=1,"б) не более 3 каналов токсичных газов и кислорода и, возможно, CH4opt","")</f>
      </c>
      <c r="G27" s="1"/>
      <c r="J27" s="316" t="s">
        <v>417</v>
      </c>
      <c r="K27" s="348">
        <f>SUM(K7:K24)</f>
        <v>0</v>
      </c>
      <c r="L27" s="325" t="str">
        <f>IF(OR(AND(E26=1,E7+SUM(E14:E23)&gt;3),AND(K27&gt;5,E26="")),"(уменьшите число каналов)",IF(K27=0,"(введите необходимые данные)",IF(AND(E9=1,E14=1),"CO и COгор в одном блоке датчиков не допускаются","")))</f>
        <v>(введите необходимые данные)</v>
      </c>
      <c r="N27" s="411">
        <f>IF(K27&gt;3,-2000,IF(K27=3,1500,0))</f>
        <v>0</v>
      </c>
      <c r="P27" s="218"/>
    </row>
    <row r="28" spans="1:13" ht="26.25" customHeight="1">
      <c r="A28" s="410"/>
      <c r="B28" s="410"/>
      <c r="C28" s="410"/>
      <c r="D28" s="410"/>
      <c r="E28" s="410"/>
      <c r="F28" s="410"/>
      <c r="G28" s="410"/>
      <c r="I28" s="218"/>
      <c r="J28" s="218">
        <f>3000*SIGN(E20+E23)*(K27-(E20+E23))</f>
        <v>0</v>
      </c>
      <c r="M28" s="412"/>
    </row>
    <row r="29" spans="1:13" ht="12" customHeight="1">
      <c r="A29" s="228"/>
      <c r="B29" s="228"/>
      <c r="C29" s="229" t="s">
        <v>428</v>
      </c>
      <c r="D29" s="352"/>
      <c r="E29" s="352"/>
      <c r="F29" s="352"/>
      <c r="H29" s="352"/>
      <c r="I29" s="352"/>
      <c r="J29" s="352"/>
      <c r="K29" s="352"/>
      <c r="L29" s="352"/>
      <c r="M29" s="352"/>
    </row>
    <row r="30" spans="1:13" ht="12.75">
      <c r="A30" s="228"/>
      <c r="B30" s="228"/>
      <c r="C30" s="354" t="s">
        <v>429</v>
      </c>
      <c r="D30" s="352"/>
      <c r="E30" s="352"/>
      <c r="F30" s="352"/>
      <c r="G30" s="352"/>
      <c r="H30" s="352"/>
      <c r="I30" s="352"/>
      <c r="J30" s="352"/>
      <c r="K30" s="352"/>
      <c r="L30" s="352"/>
      <c r="M30" s="352"/>
    </row>
    <row r="31" spans="1:17" ht="12.75">
      <c r="A31" s="228"/>
      <c r="B31" s="228"/>
      <c r="D31" s="352"/>
      <c r="P31" s="1"/>
      <c r="Q31" s="1"/>
    </row>
    <row r="32" spans="1:14" ht="23.25" customHeight="1">
      <c r="A32" s="413"/>
      <c r="B32" s="357"/>
      <c r="C32" s="357"/>
      <c r="D32" s="358" t="s">
        <v>432</v>
      </c>
      <c r="E32" s="414" t="s">
        <v>356</v>
      </c>
      <c r="H32" s="887"/>
      <c r="I32" s="888"/>
      <c r="J32" s="883"/>
      <c r="N32" s="247" t="s">
        <v>362</v>
      </c>
    </row>
    <row r="33" spans="1:35" ht="22.5">
      <c r="A33" s="413"/>
      <c r="B33" s="415"/>
      <c r="C33" s="415"/>
      <c r="D33" s="361" t="s">
        <v>365</v>
      </c>
      <c r="E33" s="362" t="s">
        <v>434</v>
      </c>
      <c r="H33" s="877" t="s">
        <v>367</v>
      </c>
      <c r="I33" s="892" t="s">
        <v>368</v>
      </c>
      <c r="J33" s="840" t="s">
        <v>435</v>
      </c>
      <c r="K33" s="840" t="s">
        <v>322</v>
      </c>
      <c r="L33" s="194" t="s">
        <v>586</v>
      </c>
      <c r="N33" s="247" t="s">
        <v>356</v>
      </c>
      <c r="P33" s="365"/>
      <c r="Q33" s="260">
        <f>IF(P34="","",P34)</f>
      </c>
      <c r="R33" s="260">
        <f>IF(P35="","",P35)</f>
      </c>
      <c r="S33" s="260">
        <f>IF(P36="","",P36)</f>
      </c>
      <c r="T33" s="260">
        <f>IF(P37="","",P37)</f>
      </c>
      <c r="U33" s="260">
        <f>IF(P38="","",P38)</f>
      </c>
      <c r="V33" s="261">
        <f>IF(P39="","",P39)</f>
      </c>
      <c r="W33" s="261">
        <f>IF(P40="","",P40)</f>
      </c>
      <c r="X33" s="261">
        <f>IF(P41="","",P41)</f>
      </c>
      <c r="Y33" s="261">
        <f>IF(P42="","",P42)</f>
      </c>
      <c r="Z33" s="261">
        <f>IF(P43="","",P43)</f>
      </c>
      <c r="AA33" s="261">
        <f>IF(P44="","",P44)</f>
      </c>
      <c r="AB33" s="261">
        <f>IF(P45="","",P45)</f>
      </c>
      <c r="AC33" s="261">
        <f>IF(P46="","",P46)</f>
      </c>
      <c r="AD33" s="261">
        <f>IF(P47="","",P47)</f>
      </c>
      <c r="AE33" s="261">
        <f>IF(P48="","",P48)</f>
      </c>
      <c r="AF33" s="261">
        <f>IF(P49="","",P49)</f>
      </c>
      <c r="AG33" s="261">
        <f>IF(P50="","",P50)</f>
      </c>
      <c r="AH33" s="261">
        <f>IF(P51="","",P51)</f>
      </c>
      <c r="AI33" s="262">
        <f>CONCATENATE(AI34,AI35,AI36,AI37,AI38,AI39,AI40,AI41,AI42,AI43,AI44,AI45,AI46,AI47,AI48,AI49,AI50,AI51)</f>
      </c>
    </row>
    <row r="34" spans="1:35" ht="21.75" customHeight="1">
      <c r="A34" s="413"/>
      <c r="B34" s="366" t="s">
        <v>373</v>
      </c>
      <c r="C34" s="294"/>
      <c r="D34" s="330" t="s">
        <v>374</v>
      </c>
      <c r="E34" s="416"/>
      <c r="F34" s="417" t="str">
        <f>IF(SUM(E$34:E$45)+SUM(E$48:E$51)&gt;5,"&lt;- каналов не должно быть более 5",IF(E34&gt;1,"&lt;- уменьшите количество каналов",IF(SUM(E$34:E$45)+SUM(E$48:E$51)=5,"&lt;- дальнейший ввод невозможен",IF(E34=1,"","&lt;- введите данные, где необходимо"))))</f>
        <v>&lt;- введите данные, где необходимо</v>
      </c>
      <c r="H34" s="849" t="s">
        <v>376</v>
      </c>
      <c r="I34" s="850" t="str">
        <f>IF(OR(L54="",L54="(введите необходимые данные)"),IF(OR(AND(E53=1,E34+SUM(E41:E50)&gt;3),AND(K54&gt;5,E53="")),"превышение числа каналов",L53),"недопустимая комбинация сенсоров")</f>
        <v>данные не введены</v>
      </c>
      <c r="J34" s="884">
        <f>IF($E34=1,CONCATENATE("-",$D34),"")</f>
      </c>
      <c r="K34" s="370">
        <f>IF(J34="",0,1)</f>
        <v>0</v>
      </c>
      <c r="N34" s="418">
        <f>IF(E34&gt;0,ПГ!E7,"")</f>
      </c>
      <c r="P34" s="276">
        <f aca="true" t="shared" si="5" ref="P34:P51">MID(J34,2,9)</f>
      </c>
      <c r="Q34" s="277">
        <f>IF(IF(ISNA(INDEX(СГИ!$P$3:$AI$22,VLOOKUP($P34,СГИ!$N$3:$O$22,2),HLOOKUP(Q$33,СГИ!$P$1:$AI$2,2))),"",INDEX(СГИ!$P$3:$AI$22,VLOOKUP($P34,СГИ!$N$3:$O$22,2),HLOOKUP(Q$33,СГИ!$P$1:$AI$2,2)))=1,CONCATENATE("при измерении ",$P34," ",Q$33," не допускается ! "),"")</f>
      </c>
      <c r="R34" s="277">
        <f>IF(IF(ISNA(INDEX(СГИ!$P$3:$AI$22,VLOOKUP($P34,СГИ!$N$3:$O$22,2),HLOOKUP(R$33,СГИ!$P$1:$AI$2,2))),"",INDEX(СГИ!$P$3:$AI$22,VLOOKUP($P34,СГИ!$N$3:$O$22,2),HLOOKUP(R$33,СГИ!$P$1:$AI$2,2)))=1,CONCATENATE("при измерении ",$P34," ",R$33," не допускается ! "),"")</f>
      </c>
      <c r="S34" s="277">
        <f>IF(IF(ISNA(INDEX(СГИ!$P$3:$AI$22,VLOOKUP($P34,СГИ!$N$3:$O$22,2),HLOOKUP(S$33,СГИ!$P$1:$AI$2,2))),"",INDEX(СГИ!$P$3:$AI$22,VLOOKUP($P34,СГИ!$N$3:$O$22,2),HLOOKUP(S$33,СГИ!$P$1:$AI$2,2)))=1,CONCATENATE("при измерении ",$P34," ",S$33," не допускается ! "),"")</f>
      </c>
      <c r="T34" s="277">
        <f>IF(IF(ISNA(INDEX(СГИ!$P$3:$AI$22,VLOOKUP($P34,СГИ!$N$3:$O$22,2),HLOOKUP(T$33,СГИ!$P$1:$AI$2,2))),"",INDEX(СГИ!$P$3:$AI$22,VLOOKUP($P34,СГИ!$N$3:$O$22,2),HLOOKUP(T$33,СГИ!$P$1:$AI$2,2)))=1,CONCATENATE("при измерении ",$P34," ",T$33," не допускается ! "),"")</f>
      </c>
      <c r="U34" s="277">
        <f>IF(IF(ISNA(INDEX(СГИ!$P$3:$AI$22,VLOOKUP($P34,СГИ!$N$3:$O$22,2),HLOOKUP(U$33,СГИ!$P$1:$AI$2,2))),"",INDEX(СГИ!$P$3:$AI$22,VLOOKUP($P34,СГИ!$N$3:$O$22,2),HLOOKUP(U$33,СГИ!$P$1:$AI$2,2)))=1,CONCATENATE("при измерении ",$P34," ",U$33," не допускается ! "),"")</f>
      </c>
      <c r="V34" s="277">
        <f>IF(IF(ISNA(INDEX(СГИ!$P$3:$AI$22,VLOOKUP($P34,СГИ!$N$3:$O$22,2),HLOOKUP(V$33,СГИ!$P$1:$AI$2,2))),"",INDEX(СГИ!$P$3:$AI$22,VLOOKUP($P34,СГИ!$N$3:$O$22,2),HLOOKUP(V$33,СГИ!$P$1:$AI$2,2)))=1,CONCATENATE("при измерении ",$P34," ",V$33," не допускается ! "),"")</f>
      </c>
      <c r="W34" s="277">
        <f>IF(IF(ISNA(INDEX(СГИ!$P$3:$AI$22,VLOOKUP($P34,СГИ!$N$3:$O$22,2),HLOOKUP(W$33,СГИ!$P$1:$AI$2,2))),"",INDEX(СГИ!$P$3:$AI$22,VLOOKUP($P34,СГИ!$N$3:$O$22,2),HLOOKUP(W$33,СГИ!$P$1:$AI$2,2)))=1,CONCATENATE("при измерении ",$P34," ",W$33," не допускается ! "),"")</f>
      </c>
      <c r="X34" s="277">
        <f>IF(IF(ISNA(INDEX(СГИ!$P$3:$AI$22,VLOOKUP($P34,СГИ!$N$3:$O$22,2),HLOOKUP(X$33,СГИ!$P$1:$AI$2,2))),"",INDEX(СГИ!$P$3:$AI$22,VLOOKUP($P34,СГИ!$N$3:$O$22,2),HLOOKUP(X$33,СГИ!$P$1:$AI$2,2)))=1,CONCATENATE("при измерении ",$P34," ",X$33," не допускается ! "),"")</f>
      </c>
      <c r="Y34" s="277">
        <f>IF(IF(ISNA(INDEX(СГИ!$P$3:$AI$22,VLOOKUP($P34,СГИ!$N$3:$O$22,2),HLOOKUP(Y$33,СГИ!$P$1:$AI$2,2))),"",INDEX(СГИ!$P$3:$AI$22,VLOOKUP($P34,СГИ!$N$3:$O$22,2),HLOOKUP(Y$33,СГИ!$P$1:$AI$2,2)))=1,CONCATENATE("при измерении ",$P34," ",Y$33," не допускается ! "),"")</f>
      </c>
      <c r="Z34" s="277">
        <f>IF(IF(ISNA(INDEX(СГИ!$P$3:$AI$22,VLOOKUP($P34,СГИ!$N$3:$O$22,2),HLOOKUP(Z$33,СГИ!$P$1:$AI$2,2))),"",INDEX(СГИ!$P$3:$AI$22,VLOOKUP($P34,СГИ!$N$3:$O$22,2),HLOOKUP(Z$33,СГИ!$P$1:$AI$2,2)))=1,CONCATENATE("при измерении ",$P34," ",Z$33," не допускается ! "),"")</f>
      </c>
      <c r="AA34" s="277">
        <f>IF(IF(ISNA(INDEX(СГИ!$P$3:$AI$22,VLOOKUP($P34,СГИ!$N$3:$O$22,2),HLOOKUP(AA$33,СГИ!$P$1:$AI$2,2))),"",INDEX(СГИ!$P$3:$AI$22,VLOOKUP($P34,СГИ!$N$3:$O$22,2),HLOOKUP(AA$33,СГИ!$P$1:$AI$2,2)))=1,CONCATENATE("при измерении ",$P34," ",AA$33," не допускается ! "),"")</f>
      </c>
      <c r="AB34" s="277">
        <f>IF(IF(ISNA(INDEX(СГИ!$P$3:$AI$22,VLOOKUP($P34,СГИ!$N$3:$O$22,2),HLOOKUP(AB$33,СГИ!$P$1:$AI$2,2))),"",INDEX(СГИ!$P$3:$AI$22,VLOOKUP($P34,СГИ!$N$3:$O$22,2),HLOOKUP(AB$33,СГИ!$P$1:$AI$2,2)))=1,CONCATENATE("при измерении ",$P34," ",AB$33," не допускается ! "),"")</f>
      </c>
      <c r="AC34" s="277">
        <f>IF(IF(ISNA(INDEX(СГИ!$P$3:$AI$22,VLOOKUP($P34,СГИ!$N$3:$O$22,2),HLOOKUP(AC$33,СГИ!$P$1:$AI$2,2))),"",INDEX(СГИ!$P$3:$AI$22,VLOOKUP($P34,СГИ!$N$3:$O$22,2),HLOOKUP(AC$33,СГИ!$P$1:$AI$2,2)))=1,CONCATENATE("при измерении ",$P34," ",AC$33," не допускается ! "),"")</f>
      </c>
      <c r="AD34" s="277">
        <f>IF(IF(ISNA(INDEX(СГИ!$P$3:$AI$22,VLOOKUP($P34,СГИ!$N$3:$O$22,2),HLOOKUP(AD$33,СГИ!$P$1:$AI$2,2))),"",INDEX(СГИ!$P$3:$AI$22,VLOOKUP($P34,СГИ!$N$3:$O$22,2),HLOOKUP(AD$33,СГИ!$P$1:$AI$2,2)))=1,CONCATENATE("при измерении ",$P34," ",AD$33," не допускается ! "),"")</f>
      </c>
      <c r="AE34" s="277">
        <f>IF(IF(ISNA(INDEX(СГИ!$P$3:$AI$22,VLOOKUP($P34,СГИ!$N$3:$O$22,2),HLOOKUP(AE$33,СГИ!$P$1:$AI$2,2))),"",INDEX(СГИ!$P$3:$AI$22,VLOOKUP($P34,СГИ!$N$3:$O$22,2),HLOOKUP(AE$33,СГИ!$P$1:$AI$2,2)))=1,CONCATENATE("при измерении ",$P34," ",AE$33," не допускается ! "),"")</f>
      </c>
      <c r="AF34" s="277">
        <f>IF(IF(ISNA(INDEX(СГИ!$P$3:$AI$22,VLOOKUP($P34,СГИ!$N$3:$O$22,2),HLOOKUP(AF$33,СГИ!$P$1:$AI$2,2))),"",INDEX(СГИ!$P$3:$AI$22,VLOOKUP($P34,СГИ!$N$3:$O$22,2),HLOOKUP(AF$33,СГИ!$P$1:$AI$2,2)))=1,CONCATENATE("при измерении ",$P34," ",AF$33," не допускается ! "),"")</f>
      </c>
      <c r="AG34" s="277">
        <f>IF(IF(ISNA(INDEX(СГИ!$P$3:$AI$22,VLOOKUP($P34,СГИ!$N$3:$O$22,2),HLOOKUP(AG$33,СГИ!$P$1:$AI$2,2))),"",INDEX(СГИ!$P$3:$AI$22,VLOOKUP($P34,СГИ!$N$3:$O$22,2),HLOOKUP(AG$33,СГИ!$P$1:$AI$2,2)))=1,CONCATENATE("при измерении ",$P34," ",AG$33," не допускается ! "),"")</f>
      </c>
      <c r="AH34" s="372">
        <f>IF(IF(ISNA(INDEX(СГИ!$P$3:$AI$22,VLOOKUP($P34,СГИ!$N$3:$O$22,2),HLOOKUP(AH$33,СГИ!$P$1:$AI$2,2))),"",INDEX(СГИ!$P$3:$AI$22,VLOOKUP($P34,СГИ!$N$3:$O$22,2),HLOOKUP(AH$33,СГИ!$P$1:$AI$2,2)))=1,CONCATENATE("при измерении ",$P34," ",AH$33," не допускается ! "),"")</f>
      </c>
      <c r="AI34">
        <f>CONCATENATE(Q34,R34,S34,T34,U34,V34,W34,X34,Y34,Z34,AA34,AB34,AC34,AD34,AE34,AF34,AG34,AH34)</f>
      </c>
    </row>
    <row r="35" spans="1:35" ht="24.75" customHeight="1">
      <c r="A35" s="413"/>
      <c r="B35" s="373" t="s">
        <v>377</v>
      </c>
      <c r="C35" s="373" t="s">
        <v>136</v>
      </c>
      <c r="D35" s="332" t="s">
        <v>378</v>
      </c>
      <c r="E35" s="368"/>
      <c r="F35" s="417" t="str">
        <f aca="true" t="shared" si="6" ref="F35:F45">IF(SUM(E$34:E$45)+SUM(E$48:E$51)&gt;5,"&lt;- каналов не должно быть более 5",IF(E35&gt;1,"&lt;- уменьшите количество каналов",IF(SUM(E$34:E$45)+SUM(E$48:E$51)=5,"&lt;- дальнейший ввод невозможен",IF(E35=1,"","&lt;- введите данные, где необходимо"))))</f>
        <v>&lt;- введите данные, где необходимо</v>
      </c>
      <c r="H35" s="851"/>
      <c r="I35" s="852" t="str">
        <f>IF(NOT(L54=""),L54,AI33)</f>
        <v>(введите необходимые данные)</v>
      </c>
      <c r="J35" s="885">
        <f>IF(OR($E35=1,B36*K36=1,B37*K37=1,B38*K38=1,B39*K39=1),CONCATENATE("-",$D35),"")</f>
      </c>
      <c r="K35" s="337">
        <f aca="true" t="shared" si="7" ref="K35:K51">IF(J35="",0,1)</f>
        <v>0</v>
      </c>
      <c r="N35" s="371">
        <f>IF(E35&gt;0,ПГ!E8,"")</f>
      </c>
      <c r="P35" s="276">
        <f t="shared" si="5"/>
      </c>
      <c r="Q35" s="277">
        <f>IF(IF(ISNA(INDEX(СГИ!$P$3:$AI$22,VLOOKUP($P35,СГИ!$N$3:$O$22,2),HLOOKUP(Q$33,СГИ!$P$1:$AI$2,2))),"",INDEX(СГИ!$P$3:$AI$22,VLOOKUP($P35,СГИ!$N$3:$O$22,2),HLOOKUP(Q$33,СГИ!$P$1:$AI$2,2)))=1,CONCATENATE("при измерении ",$P35," ",Q$33," не допускается ! "),"")</f>
      </c>
      <c r="R35" s="277">
        <f>IF(IF(ISNA(INDEX(СГИ!$P$3:$AI$22,VLOOKUP($P35,СГИ!$N$3:$O$22,2),HLOOKUP(R$33,СГИ!$P$1:$AI$2,2))),"",INDEX(СГИ!$P$3:$AI$22,VLOOKUP($P35,СГИ!$N$3:$O$22,2),HLOOKUP(R$33,СГИ!$P$1:$AI$2,2)))=1,CONCATENATE("при измерении ",$P35," ",R$33," не допускается ! "),"")</f>
      </c>
      <c r="S35" s="277">
        <f>IF(IF(ISNA(INDEX(СГИ!$P$3:$AI$22,VLOOKUP($P35,СГИ!$N$3:$O$22,2),HLOOKUP(S$33,СГИ!$P$1:$AI$2,2))),"",INDEX(СГИ!$P$3:$AI$22,VLOOKUP($P35,СГИ!$N$3:$O$22,2),HLOOKUP(S$33,СГИ!$P$1:$AI$2,2)))=1,CONCATENATE("при измерении ",$P35," ",S$33," не допускается ! "),"")</f>
      </c>
      <c r="T35" s="277">
        <f>IF(IF(ISNA(INDEX(СГИ!$P$3:$AI$22,VLOOKUP($P35,СГИ!$N$3:$O$22,2),HLOOKUP(T$33,СГИ!$P$1:$AI$2,2))),"",INDEX(СГИ!$P$3:$AI$22,VLOOKUP($P35,СГИ!$N$3:$O$22,2),HLOOKUP(T$33,СГИ!$P$1:$AI$2,2)))=1,CONCATENATE("при измерении ",$P35," ",T$33," не допускается ! "),"")</f>
      </c>
      <c r="U35" s="277">
        <f>IF(IF(ISNA(INDEX(СГИ!$P$3:$AI$22,VLOOKUP($P35,СГИ!$N$3:$O$22,2),HLOOKUP(U$33,СГИ!$P$1:$AI$2,2))),"",INDEX(СГИ!$P$3:$AI$22,VLOOKUP($P35,СГИ!$N$3:$O$22,2),HLOOKUP(U$33,СГИ!$P$1:$AI$2,2)))=1,CONCATENATE("при измерении ",$P35," ",U$33," не допускается ! "),"")</f>
      </c>
      <c r="V35" s="277">
        <f>IF(IF(ISNA(INDEX(СГИ!$P$3:$AI$22,VLOOKUP($P35,СГИ!$N$3:$O$22,2),HLOOKUP(V$33,СГИ!$P$1:$AI$2,2))),"",INDEX(СГИ!$P$3:$AI$22,VLOOKUP($P35,СГИ!$N$3:$O$22,2),HLOOKUP(V$33,СГИ!$P$1:$AI$2,2)))=1,CONCATENATE("при измерении ",$P35," ",V$33," не допускается ! "),"")</f>
      </c>
      <c r="W35" s="277">
        <f>IF(IF(ISNA(INDEX(СГИ!$P$3:$AI$22,VLOOKUP($P35,СГИ!$N$3:$O$22,2),HLOOKUP(W$33,СГИ!$P$1:$AI$2,2))),"",INDEX(СГИ!$P$3:$AI$22,VLOOKUP($P35,СГИ!$N$3:$O$22,2),HLOOKUP(W$33,СГИ!$P$1:$AI$2,2)))=1,CONCATENATE("при измерении ",$P35," ",W$33," не допускается ! "),"")</f>
      </c>
      <c r="X35" s="277">
        <f>IF(IF(ISNA(INDEX(СГИ!$P$3:$AI$22,VLOOKUP($P35,СГИ!$N$3:$O$22,2),HLOOKUP(X$33,СГИ!$P$1:$AI$2,2))),"",INDEX(СГИ!$P$3:$AI$22,VLOOKUP($P35,СГИ!$N$3:$O$22,2),HLOOKUP(X$33,СГИ!$P$1:$AI$2,2)))=1,CONCATENATE("при измерении ",$P35," ",X$33," не допускается ! "),"")</f>
      </c>
      <c r="Y35" s="277">
        <f>IF(IF(ISNA(INDEX(СГИ!$P$3:$AI$22,VLOOKUP($P35,СГИ!$N$3:$O$22,2),HLOOKUP(Y$33,СГИ!$P$1:$AI$2,2))),"",INDEX(СГИ!$P$3:$AI$22,VLOOKUP($P35,СГИ!$N$3:$O$22,2),HLOOKUP(Y$33,СГИ!$P$1:$AI$2,2)))=1,CONCATENATE("при измерении ",$P35," ",Y$33," не допускается ! "),"")</f>
      </c>
      <c r="Z35" s="277">
        <f>IF(IF(ISNA(INDEX(СГИ!$P$3:$AI$22,VLOOKUP($P35,СГИ!$N$3:$O$22,2),HLOOKUP(Z$33,СГИ!$P$1:$AI$2,2))),"",INDEX(СГИ!$P$3:$AI$22,VLOOKUP($P35,СГИ!$N$3:$O$22,2),HLOOKUP(Z$33,СГИ!$P$1:$AI$2,2)))=1,CONCATENATE("при измерении ",$P35," ",Z$33," не допускается ! "),"")</f>
      </c>
      <c r="AA35" s="277">
        <f>IF(IF(ISNA(INDEX(СГИ!$P$3:$AI$22,VLOOKUP($P35,СГИ!$N$3:$O$22,2),HLOOKUP(AA$33,СГИ!$P$1:$AI$2,2))),"",INDEX(СГИ!$P$3:$AI$22,VLOOKUP($P35,СГИ!$N$3:$O$22,2),HLOOKUP(AA$33,СГИ!$P$1:$AI$2,2)))=1,CONCATENATE("при измерении ",$P35," ",AA$33," не допускается ! "),"")</f>
      </c>
      <c r="AB35" s="277">
        <f>IF(IF(ISNA(INDEX(СГИ!$P$3:$AI$22,VLOOKUP($P35,СГИ!$N$3:$O$22,2),HLOOKUP(AB$33,СГИ!$P$1:$AI$2,2))),"",INDEX(СГИ!$P$3:$AI$22,VLOOKUP($P35,СГИ!$N$3:$O$22,2),HLOOKUP(AB$33,СГИ!$P$1:$AI$2,2)))=1,CONCATENATE("при измерении ",$P35," ",AB$33," не допускается ! "),"")</f>
      </c>
      <c r="AC35" s="277">
        <f>IF(IF(ISNA(INDEX(СГИ!$P$3:$AI$22,VLOOKUP($P35,СГИ!$N$3:$O$22,2),HLOOKUP(AC$33,СГИ!$P$1:$AI$2,2))),"",INDEX(СГИ!$P$3:$AI$22,VLOOKUP($P35,СГИ!$N$3:$O$22,2),HLOOKUP(AC$33,СГИ!$P$1:$AI$2,2)))=1,CONCATENATE("при измерении ",$P35," ",AC$33," не допускается ! "),"")</f>
      </c>
      <c r="AD35" s="277">
        <f>IF(IF(ISNA(INDEX(СГИ!$P$3:$AI$22,VLOOKUP($P35,СГИ!$N$3:$O$22,2),HLOOKUP(AD$33,СГИ!$P$1:$AI$2,2))),"",INDEX(СГИ!$P$3:$AI$22,VLOOKUP($P35,СГИ!$N$3:$O$22,2),HLOOKUP(AD$33,СГИ!$P$1:$AI$2,2)))=1,CONCATENATE("при измерении ",$P35," ",AD$33," не допускается ! "),"")</f>
      </c>
      <c r="AE35" s="277">
        <f>IF(IF(ISNA(INDEX(СГИ!$P$3:$AI$22,VLOOKUP($P35,СГИ!$N$3:$O$22,2),HLOOKUP(AE$33,СГИ!$P$1:$AI$2,2))),"",INDEX(СГИ!$P$3:$AI$22,VLOOKUP($P35,СГИ!$N$3:$O$22,2),HLOOKUP(AE$33,СГИ!$P$1:$AI$2,2)))=1,CONCATENATE("при измерении ",$P35," ",AE$33," не допускается ! "),"")</f>
      </c>
      <c r="AF35" s="277">
        <f>IF(IF(ISNA(INDEX(СГИ!$P$3:$AI$22,VLOOKUP($P35,СГИ!$N$3:$O$22,2),HLOOKUP(AF$33,СГИ!$P$1:$AI$2,2))),"",INDEX(СГИ!$P$3:$AI$22,VLOOKUP($P35,СГИ!$N$3:$O$22,2),HLOOKUP(AF$33,СГИ!$P$1:$AI$2,2)))=1,CONCATENATE("при измерении ",$P35," ",AF$33," не допускается ! "),"")</f>
      </c>
      <c r="AG35" s="277">
        <f>IF(IF(ISNA(INDEX(СГИ!$P$3:$AI$22,VLOOKUP($P35,СГИ!$N$3:$O$22,2),HLOOKUP(AG$33,СГИ!$P$1:$AI$2,2))),"",INDEX(СГИ!$P$3:$AI$22,VLOOKUP($P35,СГИ!$N$3:$O$22,2),HLOOKUP(AG$33,СГИ!$P$1:$AI$2,2)))=1,CONCATENATE("при измерении ",$P35," ",AG$33," не допускается ! "),"")</f>
      </c>
      <c r="AH35" s="372">
        <f>IF(IF(ISNA(INDEX(СГИ!$P$3:$AI$22,VLOOKUP($P35,СГИ!$N$3:$O$22,2),HLOOKUP(AH$33,СГИ!$P$1:$AI$2,2))),"",INDEX(СГИ!$P$3:$AI$22,VLOOKUP($P35,СГИ!$N$3:$O$22,2),HLOOKUP(AH$33,СГИ!$P$1:$AI$2,2)))=1,CONCATENATE("при измерении ",$P35," ",AH$33," не допускается ! "),"")</f>
      </c>
      <c r="AI35">
        <f aca="true" t="shared" si="8" ref="AI35:AI51">CONCATENATE(Q35,R35,S35,T35,U35,V35,W35,X35,Y35,Z35,AA35,AB35,AC35,AD35,AE35,AF35,AG35,AH35)</f>
      </c>
    </row>
    <row r="36" spans="1:35" ht="36.75" customHeight="1" thickBot="1">
      <c r="A36" s="374" t="s">
        <v>379</v>
      </c>
      <c r="B36" s="419"/>
      <c r="C36" s="420"/>
      <c r="D36" s="289" t="s">
        <v>380</v>
      </c>
      <c r="E36" s="368"/>
      <c r="F36" s="417" t="str">
        <f t="shared" si="6"/>
        <v>&lt;- введите данные, где необходимо</v>
      </c>
      <c r="G36" s="421"/>
      <c r="H36" s="853" t="s">
        <v>383</v>
      </c>
      <c r="I36" s="854" t="str">
        <f>IF(AND(E53=1,E35="",K54&lt;IF(E36+E37+E38+E39=0,5,IF(E36+E37+E38+E39=1,4,1)),E35=""),"взрывозащита предусмотрена","взрывозащита НЕ предусмотрена")</f>
        <v>взрывозащита НЕ предусмотрена</v>
      </c>
      <c r="J36" s="885">
        <f>IF(OR($E36=1,C37*K37=1,C38*K38=1,C39*K39=1),CONCATENATE("-","CO"),"")</f>
      </c>
      <c r="K36" s="337">
        <f t="shared" si="7"/>
        <v>0</v>
      </c>
      <c r="N36" s="371">
        <f>IF(E36&gt;0,ПГ!E9,"")</f>
      </c>
      <c r="P36" s="276">
        <f t="shared" si="5"/>
      </c>
      <c r="Q36" s="277">
        <f>IF(IF(ISNA(INDEX(СГИ!$P$3:$AI$22,VLOOKUP($P36,СГИ!$N$3:$O$22,2),HLOOKUP(Q$33,СГИ!$P$1:$AI$2,2))),"",INDEX(СГИ!$P$3:$AI$22,VLOOKUP($P36,СГИ!$N$3:$O$22,2),HLOOKUP(Q$33,СГИ!$P$1:$AI$2,2)))=1,CONCATENATE("при измерении ",$P36," ",Q$33," не допускается ! "),"")</f>
      </c>
      <c r="R36" s="277">
        <f>IF(IF(ISNA(INDEX(СГИ!$P$3:$AI$22,VLOOKUP($P36,СГИ!$N$3:$O$22,2),HLOOKUP(R$33,СГИ!$P$1:$AI$2,2))),"",INDEX(СГИ!$P$3:$AI$22,VLOOKUP($P36,СГИ!$N$3:$O$22,2),HLOOKUP(R$33,СГИ!$P$1:$AI$2,2)))=1,CONCATENATE("при измерении ",$P36," ",R$33," не допускается ! "),"")</f>
      </c>
      <c r="S36" s="277">
        <f>IF(IF(ISNA(INDEX(СГИ!$P$3:$AI$22,VLOOKUP($P36,СГИ!$N$3:$O$22,2),HLOOKUP(S$33,СГИ!$P$1:$AI$2,2))),"",INDEX(СГИ!$P$3:$AI$22,VLOOKUP($P36,СГИ!$N$3:$O$22,2),HLOOKUP(S$33,СГИ!$P$1:$AI$2,2)))=1,CONCATENATE("при измерении ",$P36," ",S$33," не допускается ! "),"")</f>
      </c>
      <c r="T36" s="277">
        <f>IF(IF(ISNA(INDEX(СГИ!$P$3:$AI$22,VLOOKUP($P36,СГИ!$N$3:$O$22,2),HLOOKUP(T$33,СГИ!$P$1:$AI$2,2))),"",INDEX(СГИ!$P$3:$AI$22,VLOOKUP($P36,СГИ!$N$3:$O$22,2),HLOOKUP(T$33,СГИ!$P$1:$AI$2,2)))=1,CONCATENATE("при измерении ",$P36," ",T$33," не допускается ! "),"")</f>
      </c>
      <c r="U36" s="277">
        <f>IF(IF(ISNA(INDEX(СГИ!$P$3:$AI$22,VLOOKUP($P36,СГИ!$N$3:$O$22,2),HLOOKUP(U$33,СГИ!$P$1:$AI$2,2))),"",INDEX(СГИ!$P$3:$AI$22,VLOOKUP($P36,СГИ!$N$3:$O$22,2),HLOOKUP(U$33,СГИ!$P$1:$AI$2,2)))=1,CONCATENATE("при измерении ",$P36," ",U$33," не допускается ! "),"")</f>
      </c>
      <c r="V36" s="277">
        <f>IF(IF(ISNA(INDEX(СГИ!$P$3:$AI$22,VLOOKUP($P36,СГИ!$N$3:$O$22,2),HLOOKUP(V$33,СГИ!$P$1:$AI$2,2))),"",INDEX(СГИ!$P$3:$AI$22,VLOOKUP($P36,СГИ!$N$3:$O$22,2),HLOOKUP(V$33,СГИ!$P$1:$AI$2,2)))=1,CONCATENATE("при измерении ",$P36," ",V$33," не допускается ! "),"")</f>
      </c>
      <c r="W36" s="277">
        <f>IF(IF(ISNA(INDEX(СГИ!$P$3:$AI$22,VLOOKUP($P36,СГИ!$N$3:$O$22,2),HLOOKUP(W$33,СГИ!$P$1:$AI$2,2))),"",INDEX(СГИ!$P$3:$AI$22,VLOOKUP($P36,СГИ!$N$3:$O$22,2),HLOOKUP(W$33,СГИ!$P$1:$AI$2,2)))=1,CONCATENATE("при измерении ",$P36," ",W$33," не допускается ! "),"")</f>
      </c>
      <c r="X36" s="277">
        <f>IF(IF(ISNA(INDEX(СГИ!$P$3:$AI$22,VLOOKUP($P36,СГИ!$N$3:$O$22,2),HLOOKUP(X$33,СГИ!$P$1:$AI$2,2))),"",INDEX(СГИ!$P$3:$AI$22,VLOOKUP($P36,СГИ!$N$3:$O$22,2),HLOOKUP(X$33,СГИ!$P$1:$AI$2,2)))=1,CONCATENATE("при измерении ",$P36," ",X$33," не допускается ! "),"")</f>
      </c>
      <c r="Y36" s="277">
        <f>IF(IF(ISNA(INDEX(СГИ!$P$3:$AI$22,VLOOKUP($P36,СГИ!$N$3:$O$22,2),HLOOKUP(Y$33,СГИ!$P$1:$AI$2,2))),"",INDEX(СГИ!$P$3:$AI$22,VLOOKUP($P36,СГИ!$N$3:$O$22,2),HLOOKUP(Y$33,СГИ!$P$1:$AI$2,2)))=1,CONCATENATE("при измерении ",$P36," ",Y$33," не допускается ! "),"")</f>
      </c>
      <c r="Z36" s="277">
        <f>IF(IF(ISNA(INDEX(СГИ!$P$3:$AI$22,VLOOKUP($P36,СГИ!$N$3:$O$22,2),HLOOKUP(Z$33,СГИ!$P$1:$AI$2,2))),"",INDEX(СГИ!$P$3:$AI$22,VLOOKUP($P36,СГИ!$N$3:$O$22,2),HLOOKUP(Z$33,СГИ!$P$1:$AI$2,2)))=1,CONCATENATE("при измерении ",$P36," ",Z$33," не допускается ! "),"")</f>
      </c>
      <c r="AA36" s="277">
        <f>IF(IF(ISNA(INDEX(СГИ!$P$3:$AI$22,VLOOKUP($P36,СГИ!$N$3:$O$22,2),HLOOKUP(AA$33,СГИ!$P$1:$AI$2,2))),"",INDEX(СГИ!$P$3:$AI$22,VLOOKUP($P36,СГИ!$N$3:$O$22,2),HLOOKUP(AA$33,СГИ!$P$1:$AI$2,2)))=1,CONCATENATE("при измерении ",$P36," ",AA$33," не допускается ! "),"")</f>
      </c>
      <c r="AB36" s="277">
        <f>IF(IF(ISNA(INDEX(СГИ!$P$3:$AI$22,VLOOKUP($P36,СГИ!$N$3:$O$22,2),HLOOKUP(AB$33,СГИ!$P$1:$AI$2,2))),"",INDEX(СГИ!$P$3:$AI$22,VLOOKUP($P36,СГИ!$N$3:$O$22,2),HLOOKUP(AB$33,СГИ!$P$1:$AI$2,2)))=1,CONCATENATE("при измерении ",$P36," ",AB$33," не допускается ! "),"")</f>
      </c>
      <c r="AC36" s="277">
        <f>IF(IF(ISNA(INDEX(СГИ!$P$3:$AI$22,VLOOKUP($P36,СГИ!$N$3:$O$22,2),HLOOKUP(AC$33,СГИ!$P$1:$AI$2,2))),"",INDEX(СГИ!$P$3:$AI$22,VLOOKUP($P36,СГИ!$N$3:$O$22,2),HLOOKUP(AC$33,СГИ!$P$1:$AI$2,2)))=1,CONCATENATE("при измерении ",$P36," ",AC$33," не допускается ! "),"")</f>
      </c>
      <c r="AD36" s="277">
        <f>IF(IF(ISNA(INDEX(СГИ!$P$3:$AI$22,VLOOKUP($P36,СГИ!$N$3:$O$22,2),HLOOKUP(AD$33,СГИ!$P$1:$AI$2,2))),"",INDEX(СГИ!$P$3:$AI$22,VLOOKUP($P36,СГИ!$N$3:$O$22,2),HLOOKUP(AD$33,СГИ!$P$1:$AI$2,2)))=1,CONCATENATE("при измерении ",$P36," ",AD$33," не допускается ! "),"")</f>
      </c>
      <c r="AE36" s="277">
        <f>IF(IF(ISNA(INDEX(СГИ!$P$3:$AI$22,VLOOKUP($P36,СГИ!$N$3:$O$22,2),HLOOKUP(AE$33,СГИ!$P$1:$AI$2,2))),"",INDEX(СГИ!$P$3:$AI$22,VLOOKUP($P36,СГИ!$N$3:$O$22,2),HLOOKUP(AE$33,СГИ!$P$1:$AI$2,2)))=1,CONCATENATE("при измерении ",$P36," ",AE$33," не допускается ! "),"")</f>
      </c>
      <c r="AF36" s="277">
        <f>IF(IF(ISNA(INDEX(СГИ!$P$3:$AI$22,VLOOKUP($P36,СГИ!$N$3:$O$22,2),HLOOKUP(AF$33,СГИ!$P$1:$AI$2,2))),"",INDEX(СГИ!$P$3:$AI$22,VLOOKUP($P36,СГИ!$N$3:$O$22,2),HLOOKUP(AF$33,СГИ!$P$1:$AI$2,2)))=1,CONCATENATE("при измерении ",$P36," ",AF$33," не допускается ! "),"")</f>
      </c>
      <c r="AG36" s="277">
        <f>IF(IF(ISNA(INDEX(СГИ!$P$3:$AI$22,VLOOKUP($P36,СГИ!$N$3:$O$22,2),HLOOKUP(AG$33,СГИ!$P$1:$AI$2,2))),"",INDEX(СГИ!$P$3:$AI$22,VLOOKUP($P36,СГИ!$N$3:$O$22,2),HLOOKUP(AG$33,СГИ!$P$1:$AI$2,2)))=1,CONCATENATE("при измерении ",$P36," ",AG$33," не допускается ! "),"")</f>
      </c>
      <c r="AH36" s="372">
        <f>IF(IF(ISNA(INDEX(СГИ!$P$3:$AI$22,VLOOKUP($P36,СГИ!$N$3:$O$22,2),HLOOKUP(AH$33,СГИ!$P$1:$AI$2,2))),"",INDEX(СГИ!$P$3:$AI$22,VLOOKUP($P36,СГИ!$N$3:$O$22,2),HLOOKUP(AH$33,СГИ!$P$1:$AI$2,2)))=1,CONCATENATE("при измерении ",$P36," ",AH$33," не допускается ! "),"")</f>
      </c>
      <c r="AI36">
        <f t="shared" si="8"/>
      </c>
    </row>
    <row r="37" spans="1:35" ht="15" thickBot="1">
      <c r="A37" s="374" t="s">
        <v>379</v>
      </c>
      <c r="B37" s="422"/>
      <c r="C37" s="422"/>
      <c r="D37" s="289" t="s">
        <v>384</v>
      </c>
      <c r="E37" s="368"/>
      <c r="F37" s="417" t="str">
        <f t="shared" si="6"/>
        <v>&lt;- введите данные, где необходимо</v>
      </c>
      <c r="G37" s="421"/>
      <c r="H37" s="867"/>
      <c r="I37" s="889"/>
      <c r="J37" s="885">
        <f>IF(AND($E37=1,NOT(AND(E$53=1,OR(E$51=1,E$40=1)))),CONCATENATE("-",$D37),"")</f>
      </c>
      <c r="K37" s="337">
        <f t="shared" si="7"/>
        <v>0</v>
      </c>
      <c r="N37" s="371">
        <f>IF(E37&gt;0,ПГ!E10,"")</f>
      </c>
      <c r="P37" s="276">
        <f t="shared" si="5"/>
      </c>
      <c r="Q37" s="277">
        <f>IF(IF(ISNA(INDEX(СГИ!$P$3:$AI$22,VLOOKUP($P37,СГИ!$N$3:$O$22,2),HLOOKUP(Q$33,СГИ!$P$1:$AI$2,2))),"",INDEX(СГИ!$P$3:$AI$22,VLOOKUP($P37,СГИ!$N$3:$O$22,2),HLOOKUP(Q$33,СГИ!$P$1:$AI$2,2)))=1,CONCATENATE("при измерении ",$P37," ",Q$33," не допускается ! "),"")</f>
      </c>
      <c r="R37" s="277">
        <f>IF(IF(ISNA(INDEX(СГИ!$P$3:$AI$22,VLOOKUP($P37,СГИ!$N$3:$O$22,2),HLOOKUP(R$33,СГИ!$P$1:$AI$2,2))),"",INDEX(СГИ!$P$3:$AI$22,VLOOKUP($P37,СГИ!$N$3:$O$22,2),HLOOKUP(R$33,СГИ!$P$1:$AI$2,2)))=1,CONCATENATE("при измерении ",$P37," ",R$33," не допускается ! "),"")</f>
      </c>
      <c r="S37" s="277">
        <f>IF(IF(ISNA(INDEX(СГИ!$P$3:$AI$22,VLOOKUP($P37,СГИ!$N$3:$O$22,2),HLOOKUP(S$33,СГИ!$P$1:$AI$2,2))),"",INDEX(СГИ!$P$3:$AI$22,VLOOKUP($P37,СГИ!$N$3:$O$22,2),HLOOKUP(S$33,СГИ!$P$1:$AI$2,2)))=1,CONCATENATE("при измерении ",$P37," ",S$33," не допускается ! "),"")</f>
      </c>
      <c r="T37" s="277">
        <f>IF(IF(ISNA(INDEX(СГИ!$P$3:$AI$22,VLOOKUP($P37,СГИ!$N$3:$O$22,2),HLOOKUP(T$33,СГИ!$P$1:$AI$2,2))),"",INDEX(СГИ!$P$3:$AI$22,VLOOKUP($P37,СГИ!$N$3:$O$22,2),HLOOKUP(T$33,СГИ!$P$1:$AI$2,2)))=1,CONCATENATE("при измерении ",$P37," ",T$33," не допускается ! "),"")</f>
      </c>
      <c r="U37" s="277">
        <f>IF(IF(ISNA(INDEX(СГИ!$P$3:$AI$22,VLOOKUP($P37,СГИ!$N$3:$O$22,2),HLOOKUP(U$33,СГИ!$P$1:$AI$2,2))),"",INDEX(СГИ!$P$3:$AI$22,VLOOKUP($P37,СГИ!$N$3:$O$22,2),HLOOKUP(U$33,СГИ!$P$1:$AI$2,2)))=1,CONCATENATE("при измерении ",$P37," ",U$33," не допускается ! "),"")</f>
      </c>
      <c r="V37" s="277">
        <f>IF(IF(ISNA(INDEX(СГИ!$P$3:$AI$22,VLOOKUP($P37,СГИ!$N$3:$O$22,2),HLOOKUP(V$33,СГИ!$P$1:$AI$2,2))),"",INDEX(СГИ!$P$3:$AI$22,VLOOKUP($P37,СГИ!$N$3:$O$22,2),HLOOKUP(V$33,СГИ!$P$1:$AI$2,2)))=1,CONCATENATE("при измерении ",$P37," ",V$33," не допускается ! "),"")</f>
      </c>
      <c r="W37" s="277">
        <f>IF(IF(ISNA(INDEX(СГИ!$P$3:$AI$22,VLOOKUP($P37,СГИ!$N$3:$O$22,2),HLOOKUP(W$33,СГИ!$P$1:$AI$2,2))),"",INDEX(СГИ!$P$3:$AI$22,VLOOKUP($P37,СГИ!$N$3:$O$22,2),HLOOKUP(W$33,СГИ!$P$1:$AI$2,2)))=1,CONCATENATE("при измерении ",$P37," ",W$33," не допускается ! "),"")</f>
      </c>
      <c r="X37" s="277">
        <f>IF(IF(ISNA(INDEX(СГИ!$P$3:$AI$22,VLOOKUP($P37,СГИ!$N$3:$O$22,2),HLOOKUP(X$33,СГИ!$P$1:$AI$2,2))),"",INDEX(СГИ!$P$3:$AI$22,VLOOKUP($P37,СГИ!$N$3:$O$22,2),HLOOKUP(X$33,СГИ!$P$1:$AI$2,2)))=1,CONCATENATE("при измерении ",$P37," ",X$33," не допускается ! "),"")</f>
      </c>
      <c r="Y37" s="277">
        <f>IF(IF(ISNA(INDEX(СГИ!$P$3:$AI$22,VLOOKUP($P37,СГИ!$N$3:$O$22,2),HLOOKUP(Y$33,СГИ!$P$1:$AI$2,2))),"",INDEX(СГИ!$P$3:$AI$22,VLOOKUP($P37,СГИ!$N$3:$O$22,2),HLOOKUP(Y$33,СГИ!$P$1:$AI$2,2)))=1,CONCATENATE("при измерении ",$P37," ",Y$33," не допускается ! "),"")</f>
      </c>
      <c r="Z37" s="277">
        <f>IF(IF(ISNA(INDEX(СГИ!$P$3:$AI$22,VLOOKUP($P37,СГИ!$N$3:$O$22,2),HLOOKUP(Z$33,СГИ!$P$1:$AI$2,2))),"",INDEX(СГИ!$P$3:$AI$22,VLOOKUP($P37,СГИ!$N$3:$O$22,2),HLOOKUP(Z$33,СГИ!$P$1:$AI$2,2)))=1,CONCATENATE("при измерении ",$P37," ",Z$33," не допускается ! "),"")</f>
      </c>
      <c r="AA37" s="277">
        <f>IF(IF(ISNA(INDEX(СГИ!$P$3:$AI$22,VLOOKUP($P37,СГИ!$N$3:$O$22,2),HLOOKUP(AA$33,СГИ!$P$1:$AI$2,2))),"",INDEX(СГИ!$P$3:$AI$22,VLOOKUP($P37,СГИ!$N$3:$O$22,2),HLOOKUP(AA$33,СГИ!$P$1:$AI$2,2)))=1,CONCATENATE("при измерении ",$P37," ",AA$33," не допускается ! "),"")</f>
      </c>
      <c r="AB37" s="277">
        <f>IF(IF(ISNA(INDEX(СГИ!$P$3:$AI$22,VLOOKUP($P37,СГИ!$N$3:$O$22,2),HLOOKUP(AB$33,СГИ!$P$1:$AI$2,2))),"",INDEX(СГИ!$P$3:$AI$22,VLOOKUP($P37,СГИ!$N$3:$O$22,2),HLOOKUP(AB$33,СГИ!$P$1:$AI$2,2)))=1,CONCATENATE("при измерении ",$P37," ",AB$33," не допускается ! "),"")</f>
      </c>
      <c r="AC37" s="277">
        <f>IF(IF(ISNA(INDEX(СГИ!$P$3:$AI$22,VLOOKUP($P37,СГИ!$N$3:$O$22,2),HLOOKUP(AC$33,СГИ!$P$1:$AI$2,2))),"",INDEX(СГИ!$P$3:$AI$22,VLOOKUP($P37,СГИ!$N$3:$O$22,2),HLOOKUP(AC$33,СГИ!$P$1:$AI$2,2)))=1,CONCATENATE("при измерении ",$P37," ",AC$33," не допускается ! "),"")</f>
      </c>
      <c r="AD37" s="277">
        <f>IF(IF(ISNA(INDEX(СГИ!$P$3:$AI$22,VLOOKUP($P37,СГИ!$N$3:$O$22,2),HLOOKUP(AD$33,СГИ!$P$1:$AI$2,2))),"",INDEX(СГИ!$P$3:$AI$22,VLOOKUP($P37,СГИ!$N$3:$O$22,2),HLOOKUP(AD$33,СГИ!$P$1:$AI$2,2)))=1,CONCATENATE("при измерении ",$P37," ",AD$33," не допускается ! "),"")</f>
      </c>
      <c r="AE37" s="277">
        <f>IF(IF(ISNA(INDEX(СГИ!$P$3:$AI$22,VLOOKUP($P37,СГИ!$N$3:$O$22,2),HLOOKUP(AE$33,СГИ!$P$1:$AI$2,2))),"",INDEX(СГИ!$P$3:$AI$22,VLOOKUP($P37,СГИ!$N$3:$O$22,2),HLOOKUP(AE$33,СГИ!$P$1:$AI$2,2)))=1,CONCATENATE("при измерении ",$P37," ",AE$33," не допускается ! "),"")</f>
      </c>
      <c r="AF37" s="277">
        <f>IF(IF(ISNA(INDEX(СГИ!$P$3:$AI$22,VLOOKUP($P37,СГИ!$N$3:$O$22,2),HLOOKUP(AF$33,СГИ!$P$1:$AI$2,2))),"",INDEX(СГИ!$P$3:$AI$22,VLOOKUP($P37,СГИ!$N$3:$O$22,2),HLOOKUP(AF$33,СГИ!$P$1:$AI$2,2)))=1,CONCATENATE("при измерении ",$P37," ",AF$33," не допускается ! "),"")</f>
      </c>
      <c r="AG37" s="277">
        <f>IF(IF(ISNA(INDEX(СГИ!$P$3:$AI$22,VLOOKUP($P37,СГИ!$N$3:$O$22,2),HLOOKUP(AG$33,СГИ!$P$1:$AI$2,2))),"",INDEX(СГИ!$P$3:$AI$22,VLOOKUP($P37,СГИ!$N$3:$O$22,2),HLOOKUP(AG$33,СГИ!$P$1:$AI$2,2)))=1,CONCATENATE("при измерении ",$P37," ",AG$33," не допускается ! "),"")</f>
      </c>
      <c r="AH37" s="372">
        <f>IF(IF(ISNA(INDEX(СГИ!$P$3:$AI$22,VLOOKUP($P37,СГИ!$N$3:$O$22,2),HLOOKUP(AH$33,СГИ!$P$1:$AI$2,2))),"",INDEX(СГИ!$P$3:$AI$22,VLOOKUP($P37,СГИ!$N$3:$O$22,2),HLOOKUP(AH$33,СГИ!$P$1:$AI$2,2)))=1,CONCATENATE("при измерении ",$P37," ",AH$33," не допускается ! "),"")</f>
      </c>
      <c r="AI37">
        <f t="shared" si="8"/>
      </c>
    </row>
    <row r="38" spans="1:35" ht="15" thickBot="1">
      <c r="A38" s="374" t="s">
        <v>379</v>
      </c>
      <c r="B38" s="422"/>
      <c r="C38" s="422"/>
      <c r="D38" s="289" t="s">
        <v>386</v>
      </c>
      <c r="E38" s="368"/>
      <c r="F38" s="417" t="str">
        <f t="shared" si="6"/>
        <v>&lt;- введите данные, где необходимо</v>
      </c>
      <c r="G38" s="421"/>
      <c r="H38" s="867"/>
      <c r="I38" s="868"/>
      <c r="J38" s="885">
        <f>IF(AND($E38=1,NOT(AND(E$53=1,OR(E$51=1,E$40=1)))),CONCATENATE("-",$D38),"")</f>
      </c>
      <c r="K38" s="337">
        <f t="shared" si="7"/>
        <v>0</v>
      </c>
      <c r="N38" s="371">
        <f>IF(E38&gt;0,ПГ!E11,"")</f>
      </c>
      <c r="P38" s="276">
        <f t="shared" si="5"/>
      </c>
      <c r="Q38" s="277">
        <f>IF(IF(ISNA(INDEX(СГИ!$P$3:$AI$22,VLOOKUP($P38,СГИ!$N$3:$O$22,2),HLOOKUP(Q$33,СГИ!$P$1:$AI$2,2))),"",INDEX(СГИ!$P$3:$AI$22,VLOOKUP($P38,СГИ!$N$3:$O$22,2),HLOOKUP(Q$33,СГИ!$P$1:$AI$2,2)))=1,CONCATENATE("при измерении ",$P38," ",Q$33," не допускается ! "),"")</f>
      </c>
      <c r="R38" s="277">
        <f>IF(IF(ISNA(INDEX(СГИ!$P$3:$AI$22,VLOOKUP($P38,СГИ!$N$3:$O$22,2),HLOOKUP(R$33,СГИ!$P$1:$AI$2,2))),"",INDEX(СГИ!$P$3:$AI$22,VLOOKUP($P38,СГИ!$N$3:$O$22,2),HLOOKUP(R$33,СГИ!$P$1:$AI$2,2)))=1,CONCATENATE("при измерении ",$P38," ",R$33," не допускается ! "),"")</f>
      </c>
      <c r="S38" s="277">
        <f>IF(IF(ISNA(INDEX(СГИ!$P$3:$AI$22,VLOOKUP($P38,СГИ!$N$3:$O$22,2),HLOOKUP(S$33,СГИ!$P$1:$AI$2,2))),"",INDEX(СГИ!$P$3:$AI$22,VLOOKUP($P38,СГИ!$N$3:$O$22,2),HLOOKUP(S$33,СГИ!$P$1:$AI$2,2)))=1,CONCATENATE("при измерении ",$P38," ",S$33," не допускается ! "),"")</f>
      </c>
      <c r="T38" s="277">
        <f>IF(IF(ISNA(INDEX(СГИ!$P$3:$AI$22,VLOOKUP($P38,СГИ!$N$3:$O$22,2),HLOOKUP(T$33,СГИ!$P$1:$AI$2,2))),"",INDEX(СГИ!$P$3:$AI$22,VLOOKUP($P38,СГИ!$N$3:$O$22,2),HLOOKUP(T$33,СГИ!$P$1:$AI$2,2)))=1,CONCATENATE("при измерении ",$P38," ",T$33," не допускается ! "),"")</f>
      </c>
      <c r="U38" s="277">
        <f>IF(IF(ISNA(INDEX(СГИ!$P$3:$AI$22,VLOOKUP($P38,СГИ!$N$3:$O$22,2),HLOOKUP(U$33,СГИ!$P$1:$AI$2,2))),"",INDEX(СГИ!$P$3:$AI$22,VLOOKUP($P38,СГИ!$N$3:$O$22,2),HLOOKUP(U$33,СГИ!$P$1:$AI$2,2)))=1,CONCATENATE("при измерении ",$P38," ",U$33," не допускается ! "),"")</f>
      </c>
      <c r="V38" s="277">
        <f>IF(IF(ISNA(INDEX(СГИ!$P$3:$AI$22,VLOOKUP($P38,СГИ!$N$3:$O$22,2),HLOOKUP(V$33,СГИ!$P$1:$AI$2,2))),"",INDEX(СГИ!$P$3:$AI$22,VLOOKUP($P38,СГИ!$N$3:$O$22,2),HLOOKUP(V$33,СГИ!$P$1:$AI$2,2)))=1,CONCATENATE("при измерении ",$P38," ",V$33," не допускается ! "),"")</f>
      </c>
      <c r="W38" s="277">
        <f>IF(IF(ISNA(INDEX(СГИ!$P$3:$AI$22,VLOOKUP($P38,СГИ!$N$3:$O$22,2),HLOOKUP(W$33,СГИ!$P$1:$AI$2,2))),"",INDEX(СГИ!$P$3:$AI$22,VLOOKUP($P38,СГИ!$N$3:$O$22,2),HLOOKUP(W$33,СГИ!$P$1:$AI$2,2)))=1,CONCATENATE("при измерении ",$P38," ",W$33," не допускается ! "),"")</f>
      </c>
      <c r="X38" s="277">
        <f>IF(IF(ISNA(INDEX(СГИ!$P$3:$AI$22,VLOOKUP($P38,СГИ!$N$3:$O$22,2),HLOOKUP(X$33,СГИ!$P$1:$AI$2,2))),"",INDEX(СГИ!$P$3:$AI$22,VLOOKUP($P38,СГИ!$N$3:$O$22,2),HLOOKUP(X$33,СГИ!$P$1:$AI$2,2)))=1,CONCATENATE("при измерении ",$P38," ",X$33," не допускается ! "),"")</f>
      </c>
      <c r="Y38" s="277">
        <f>IF(IF(ISNA(INDEX(СГИ!$P$3:$AI$22,VLOOKUP($P38,СГИ!$N$3:$O$22,2),HLOOKUP(Y$33,СГИ!$P$1:$AI$2,2))),"",INDEX(СГИ!$P$3:$AI$22,VLOOKUP($P38,СГИ!$N$3:$O$22,2),HLOOKUP(Y$33,СГИ!$P$1:$AI$2,2)))=1,CONCATENATE("при измерении ",$P38," ",Y$33," не допускается ! "),"")</f>
      </c>
      <c r="Z38" s="277">
        <f>IF(IF(ISNA(INDEX(СГИ!$P$3:$AI$22,VLOOKUP($P38,СГИ!$N$3:$O$22,2),HLOOKUP(Z$33,СГИ!$P$1:$AI$2,2))),"",INDEX(СГИ!$P$3:$AI$22,VLOOKUP($P38,СГИ!$N$3:$O$22,2),HLOOKUP(Z$33,СГИ!$P$1:$AI$2,2)))=1,CONCATENATE("при измерении ",$P38," ",Z$33," не допускается ! "),"")</f>
      </c>
      <c r="AA38" s="277">
        <f>IF(IF(ISNA(INDEX(СГИ!$P$3:$AI$22,VLOOKUP($P38,СГИ!$N$3:$O$22,2),HLOOKUP(AA$33,СГИ!$P$1:$AI$2,2))),"",INDEX(СГИ!$P$3:$AI$22,VLOOKUP($P38,СГИ!$N$3:$O$22,2),HLOOKUP(AA$33,СГИ!$P$1:$AI$2,2)))=1,CONCATENATE("при измерении ",$P38," ",AA$33," не допускается ! "),"")</f>
      </c>
      <c r="AB38" s="277">
        <f>IF(IF(ISNA(INDEX(СГИ!$P$3:$AI$22,VLOOKUP($P38,СГИ!$N$3:$O$22,2),HLOOKUP(AB$33,СГИ!$P$1:$AI$2,2))),"",INDEX(СГИ!$P$3:$AI$22,VLOOKUP($P38,СГИ!$N$3:$O$22,2),HLOOKUP(AB$33,СГИ!$P$1:$AI$2,2)))=1,CONCATENATE("при измерении ",$P38," ",AB$33," не допускается ! "),"")</f>
      </c>
      <c r="AC38" s="277">
        <f>IF(IF(ISNA(INDEX(СГИ!$P$3:$AI$22,VLOOKUP($P38,СГИ!$N$3:$O$22,2),HLOOKUP(AC$33,СГИ!$P$1:$AI$2,2))),"",INDEX(СГИ!$P$3:$AI$22,VLOOKUP($P38,СГИ!$N$3:$O$22,2),HLOOKUP(AC$33,СГИ!$P$1:$AI$2,2)))=1,CONCATENATE("при измерении ",$P38," ",AC$33," не допускается ! "),"")</f>
      </c>
      <c r="AD38" s="277">
        <f>IF(IF(ISNA(INDEX(СГИ!$P$3:$AI$22,VLOOKUP($P38,СГИ!$N$3:$O$22,2),HLOOKUP(AD$33,СГИ!$P$1:$AI$2,2))),"",INDEX(СГИ!$P$3:$AI$22,VLOOKUP($P38,СГИ!$N$3:$O$22,2),HLOOKUP(AD$33,СГИ!$P$1:$AI$2,2)))=1,CONCATENATE("при измерении ",$P38," ",AD$33," не допускается ! "),"")</f>
      </c>
      <c r="AE38" s="277">
        <f>IF(IF(ISNA(INDEX(СГИ!$P$3:$AI$22,VLOOKUP($P38,СГИ!$N$3:$O$22,2),HLOOKUP(AE$33,СГИ!$P$1:$AI$2,2))),"",INDEX(СГИ!$P$3:$AI$22,VLOOKUP($P38,СГИ!$N$3:$O$22,2),HLOOKUP(AE$33,СГИ!$P$1:$AI$2,2)))=1,CONCATENATE("при измерении ",$P38," ",AE$33," не допускается ! "),"")</f>
      </c>
      <c r="AF38" s="277">
        <f>IF(IF(ISNA(INDEX(СГИ!$P$3:$AI$22,VLOOKUP($P38,СГИ!$N$3:$O$22,2),HLOOKUP(AF$33,СГИ!$P$1:$AI$2,2))),"",INDEX(СГИ!$P$3:$AI$22,VLOOKUP($P38,СГИ!$N$3:$O$22,2),HLOOKUP(AF$33,СГИ!$P$1:$AI$2,2)))=1,CONCATENATE("при измерении ",$P38," ",AF$33," не допускается ! "),"")</f>
      </c>
      <c r="AG38" s="277">
        <f>IF(IF(ISNA(INDEX(СГИ!$P$3:$AI$22,VLOOKUP($P38,СГИ!$N$3:$O$22,2),HLOOKUP(AG$33,СГИ!$P$1:$AI$2,2))),"",INDEX(СГИ!$P$3:$AI$22,VLOOKUP($P38,СГИ!$N$3:$O$22,2),HLOOKUP(AG$33,СГИ!$P$1:$AI$2,2)))=1,CONCATENATE("при измерении ",$P38," ",AG$33," не допускается ! "),"")</f>
      </c>
      <c r="AH38" s="372">
        <f>IF(IF(ISNA(INDEX(СГИ!$P$3:$AI$22,VLOOKUP($P38,СГИ!$N$3:$O$22,2),HLOOKUP(AH$33,СГИ!$P$1:$AI$2,2))),"",INDEX(СГИ!$P$3:$AI$22,VLOOKUP($P38,СГИ!$N$3:$O$22,2),HLOOKUP(AH$33,СГИ!$P$1:$AI$2,2)))=1,CONCATENATE("при измерении ",$P38," ",AH$33," не допускается ! "),"")</f>
      </c>
      <c r="AI38">
        <f t="shared" si="8"/>
      </c>
    </row>
    <row r="39" spans="1:35" ht="15" thickBot="1">
      <c r="A39" s="378" t="s">
        <v>379</v>
      </c>
      <c r="B39" s="423"/>
      <c r="C39" s="423"/>
      <c r="D39" s="424" t="s">
        <v>388</v>
      </c>
      <c r="E39" s="368"/>
      <c r="F39" s="417" t="str">
        <f t="shared" si="6"/>
        <v>&lt;- введите данные, где необходимо</v>
      </c>
      <c r="G39" s="421"/>
      <c r="H39" s="890"/>
      <c r="I39" s="858" t="str">
        <f>IF(AND(I36="взрывозащита не предусмотрена",OR(I35="",I35="(каналы углеводородов неселективны)")),"ЦЕНЫ без взрывозащиты, руб.:",IF(I40="проверьте ввод данных","ЦЕНЫ","ЦЕНЫ с взрывозащитой, руб.:"))</f>
        <v>ЦЕНЫ</v>
      </c>
      <c r="J39" s="885">
        <f>IF(AND($E39=1,NOT(AND(E$53=1,OR(E$51=1,E$40=1)))),CONCATENATE("-",$D39),"")</f>
      </c>
      <c r="K39" s="337">
        <f t="shared" si="7"/>
        <v>0</v>
      </c>
      <c r="N39" s="371">
        <f>IF(E39&gt;0,ПГ!E12,"")</f>
      </c>
      <c r="P39" s="276">
        <f t="shared" si="5"/>
      </c>
      <c r="Q39" s="277">
        <f>IF(IF(ISNA(INDEX(СГИ!$P$3:$AI$22,VLOOKUP($P39,СГИ!$N$3:$O$22,2),HLOOKUP(Q$33,СГИ!$P$1:$AI$2,2))),"",INDEX(СГИ!$P$3:$AI$22,VLOOKUP($P39,СГИ!$N$3:$O$22,2),HLOOKUP(Q$33,СГИ!$P$1:$AI$2,2)))=1,CONCATENATE("при измерении ",$P39," ",Q$33," не допускается ! "),"")</f>
      </c>
      <c r="R39" s="277">
        <f>IF(IF(ISNA(INDEX(СГИ!$P$3:$AI$22,VLOOKUP($P39,СГИ!$N$3:$O$22,2),HLOOKUP(R$33,СГИ!$P$1:$AI$2,2))),"",INDEX(СГИ!$P$3:$AI$22,VLOOKUP($P39,СГИ!$N$3:$O$22,2),HLOOKUP(R$33,СГИ!$P$1:$AI$2,2)))=1,CONCATENATE("при измерении ",$P39," ",R$33," не допускается ! "),"")</f>
      </c>
      <c r="S39" s="277">
        <f>IF(IF(ISNA(INDEX(СГИ!$P$3:$AI$22,VLOOKUP($P39,СГИ!$N$3:$O$22,2),HLOOKUP(S$33,СГИ!$P$1:$AI$2,2))),"",INDEX(СГИ!$P$3:$AI$22,VLOOKUP($P39,СГИ!$N$3:$O$22,2),HLOOKUP(S$33,СГИ!$P$1:$AI$2,2)))=1,CONCATENATE("при измерении ",$P39," ",S$33," не допускается ! "),"")</f>
      </c>
      <c r="T39" s="277">
        <f>IF(IF(ISNA(INDEX(СГИ!$P$3:$AI$22,VLOOKUP($P39,СГИ!$N$3:$O$22,2),HLOOKUP(T$33,СГИ!$P$1:$AI$2,2))),"",INDEX(СГИ!$P$3:$AI$22,VLOOKUP($P39,СГИ!$N$3:$O$22,2),HLOOKUP(T$33,СГИ!$P$1:$AI$2,2)))=1,CONCATENATE("при измерении ",$P39," ",T$33," не допускается ! "),"")</f>
      </c>
      <c r="U39" s="277">
        <f>IF(IF(ISNA(INDEX(СГИ!$P$3:$AI$22,VLOOKUP($P39,СГИ!$N$3:$O$22,2),HLOOKUP(U$33,СГИ!$P$1:$AI$2,2))),"",INDEX(СГИ!$P$3:$AI$22,VLOOKUP($P39,СГИ!$N$3:$O$22,2),HLOOKUP(U$33,СГИ!$P$1:$AI$2,2)))=1,CONCATENATE("при измерении ",$P39," ",U$33," не допускается ! "),"")</f>
      </c>
      <c r="V39" s="277">
        <f>IF(IF(ISNA(INDEX(СГИ!$P$3:$AI$22,VLOOKUP($P39,СГИ!$N$3:$O$22,2),HLOOKUP(V$33,СГИ!$P$1:$AI$2,2))),"",INDEX(СГИ!$P$3:$AI$22,VLOOKUP($P39,СГИ!$N$3:$O$22,2),HLOOKUP(V$33,СГИ!$P$1:$AI$2,2)))=1,CONCATENATE("при измерении ",$P39," ",V$33," не допускается ! "),"")</f>
      </c>
      <c r="W39" s="277">
        <f>IF(IF(ISNA(INDEX(СГИ!$P$3:$AI$22,VLOOKUP($P39,СГИ!$N$3:$O$22,2),HLOOKUP(W$33,СГИ!$P$1:$AI$2,2))),"",INDEX(СГИ!$P$3:$AI$22,VLOOKUP($P39,СГИ!$N$3:$O$22,2),HLOOKUP(W$33,СГИ!$P$1:$AI$2,2)))=1,CONCATENATE("при измерении ",$P39," ",W$33," не допускается ! "),"")</f>
      </c>
      <c r="X39" s="277">
        <f>IF(IF(ISNA(INDEX(СГИ!$P$3:$AI$22,VLOOKUP($P39,СГИ!$N$3:$O$22,2),HLOOKUP(X$33,СГИ!$P$1:$AI$2,2))),"",INDEX(СГИ!$P$3:$AI$22,VLOOKUP($P39,СГИ!$N$3:$O$22,2),HLOOKUP(X$33,СГИ!$P$1:$AI$2,2)))=1,CONCATENATE("при измерении ",$P39," ",X$33," не допускается ! "),"")</f>
      </c>
      <c r="Y39" s="277">
        <f>IF(IF(ISNA(INDEX(СГИ!$P$3:$AI$22,VLOOKUP($P39,СГИ!$N$3:$O$22,2),HLOOKUP(Y$33,СГИ!$P$1:$AI$2,2))),"",INDEX(СГИ!$P$3:$AI$22,VLOOKUP($P39,СГИ!$N$3:$O$22,2),HLOOKUP(Y$33,СГИ!$P$1:$AI$2,2)))=1,CONCATENATE("при измерении ",$P39," ",Y$33," не допускается ! "),"")</f>
      </c>
      <c r="Z39" s="277">
        <f>IF(IF(ISNA(INDEX(СГИ!$P$3:$AI$22,VLOOKUP($P39,СГИ!$N$3:$O$22,2),HLOOKUP(Z$33,СГИ!$P$1:$AI$2,2))),"",INDEX(СГИ!$P$3:$AI$22,VLOOKUP($P39,СГИ!$N$3:$O$22,2),HLOOKUP(Z$33,СГИ!$P$1:$AI$2,2)))=1,CONCATENATE("при измерении ",$P39," ",Z$33," не допускается ! "),"")</f>
      </c>
      <c r="AA39" s="277">
        <f>IF(IF(ISNA(INDEX(СГИ!$P$3:$AI$22,VLOOKUP($P39,СГИ!$N$3:$O$22,2),HLOOKUP(AA$33,СГИ!$P$1:$AI$2,2))),"",INDEX(СГИ!$P$3:$AI$22,VLOOKUP($P39,СГИ!$N$3:$O$22,2),HLOOKUP(AA$33,СГИ!$P$1:$AI$2,2)))=1,CONCATENATE("при измерении ",$P39," ",AA$33," не допускается ! "),"")</f>
      </c>
      <c r="AB39" s="277">
        <f>IF(IF(ISNA(INDEX(СГИ!$P$3:$AI$22,VLOOKUP($P39,СГИ!$N$3:$O$22,2),HLOOKUP(AB$33,СГИ!$P$1:$AI$2,2))),"",INDEX(СГИ!$P$3:$AI$22,VLOOKUP($P39,СГИ!$N$3:$O$22,2),HLOOKUP(AB$33,СГИ!$P$1:$AI$2,2)))=1,CONCATENATE("при измерении ",$P39," ",AB$33," не допускается ! "),"")</f>
      </c>
      <c r="AC39" s="277">
        <f>IF(IF(ISNA(INDEX(СГИ!$P$3:$AI$22,VLOOKUP($P39,СГИ!$N$3:$O$22,2),HLOOKUP(AC$33,СГИ!$P$1:$AI$2,2))),"",INDEX(СГИ!$P$3:$AI$22,VLOOKUP($P39,СГИ!$N$3:$O$22,2),HLOOKUP(AC$33,СГИ!$P$1:$AI$2,2)))=1,CONCATENATE("при измерении ",$P39," ",AC$33," не допускается ! "),"")</f>
      </c>
      <c r="AD39" s="277">
        <f>IF(IF(ISNA(INDEX(СГИ!$P$3:$AI$22,VLOOKUP($P39,СГИ!$N$3:$O$22,2),HLOOKUP(AD$33,СГИ!$P$1:$AI$2,2))),"",INDEX(СГИ!$P$3:$AI$22,VLOOKUP($P39,СГИ!$N$3:$O$22,2),HLOOKUP(AD$33,СГИ!$P$1:$AI$2,2)))=1,CONCATENATE("при измерении ",$P39," ",AD$33," не допускается ! "),"")</f>
      </c>
      <c r="AE39" s="277">
        <f>IF(IF(ISNA(INDEX(СГИ!$P$3:$AI$22,VLOOKUP($P39,СГИ!$N$3:$O$22,2),HLOOKUP(AE$33,СГИ!$P$1:$AI$2,2))),"",INDEX(СГИ!$P$3:$AI$22,VLOOKUP($P39,СГИ!$N$3:$O$22,2),HLOOKUP(AE$33,СГИ!$P$1:$AI$2,2)))=1,CONCATENATE("при измерении ",$P39," ",AE$33," не допускается ! "),"")</f>
      </c>
      <c r="AF39" s="277">
        <f>IF(IF(ISNA(INDEX(СГИ!$P$3:$AI$22,VLOOKUP($P39,СГИ!$N$3:$O$22,2),HLOOKUP(AF$33,СГИ!$P$1:$AI$2,2))),"",INDEX(СГИ!$P$3:$AI$22,VLOOKUP($P39,СГИ!$N$3:$O$22,2),HLOOKUP(AF$33,СГИ!$P$1:$AI$2,2)))=1,CONCATENATE("при измерении ",$P39," ",AF$33," не допускается ! "),"")</f>
      </c>
      <c r="AG39" s="277">
        <f>IF(IF(ISNA(INDEX(СГИ!$P$3:$AI$22,VLOOKUP($P39,СГИ!$N$3:$O$22,2),HLOOKUP(AG$33,СГИ!$P$1:$AI$2,2))),"",INDEX(СГИ!$P$3:$AI$22,VLOOKUP($P39,СГИ!$N$3:$O$22,2),HLOOKUP(AG$33,СГИ!$P$1:$AI$2,2)))=1,CONCATENATE("при измерении ",$P39," ",AG$33," не допускается ! "),"")</f>
      </c>
      <c r="AH39" s="372">
        <f>IF(IF(ISNA(INDEX(СГИ!$P$3:$AI$22,VLOOKUP($P39,СГИ!$N$3:$O$22,2),HLOOKUP(AH$33,СГИ!$P$1:$AI$2,2))),"",INDEX(СГИ!$P$3:$AI$22,VLOOKUP($P39,СГИ!$N$3:$O$22,2),HLOOKUP(AH$33,СГИ!$P$1:$AI$2,2)))=1,CONCATENATE("при измерении ",$P39," ",AH$33," не допускается ! "),"")</f>
      </c>
      <c r="AI39">
        <f t="shared" si="8"/>
      </c>
    </row>
    <row r="40" spans="1:35" ht="18.75" thickBot="1">
      <c r="A40" s="413"/>
      <c r="B40" s="425"/>
      <c r="C40" s="425"/>
      <c r="D40" s="379"/>
      <c r="E40" s="368"/>
      <c r="F40" s="417" t="str">
        <f t="shared" si="6"/>
        <v>&lt;- введите данные, где необходимо</v>
      </c>
      <c r="H40" s="861" t="s">
        <v>436</v>
      </c>
      <c r="I40" s="862" t="str">
        <f>IF(OR(I34="углеводороды не определяются селективно",I34="превышение числа каналов",I34="данные не введены"),"проверьте ввод данных",IF(AND(MAX(B36:B39)&lt;2,MIN(B36:B39)&gt;-1),MAX(N34:N51)+SUMPRODUCT(K34:K51,ПГ!C$7:C$24)+3000*SIGN(E47+E50)*(K54-(E47+E50))+500*(K35*B36*K36+(K35+K36)*B37*K37+(K35+K36)*B38*E38+(K35+K36)*B39*K39)+N54+IF(NOT(I36="взрывозащита предусмотрена"),0,VLOOKUP(K54,ПГ!$B$27:$C$30,2)),"проверьте ввод данных"))</f>
        <v>проверьте ввод данных</v>
      </c>
      <c r="J40" s="885">
        <f>IF(AND($E40=1,NOT(AND(E$53=1,OR(E$51=1,E$40=1)))),CONCATENATE("-",$D40),"")</f>
      </c>
      <c r="K40" s="337">
        <f t="shared" si="7"/>
        <v>0</v>
      </c>
      <c r="N40" s="371">
        <f>IF(E40&gt;0,ПГ!E13,"")</f>
      </c>
      <c r="P40" s="276">
        <f t="shared" si="5"/>
      </c>
      <c r="Q40" s="277">
        <f>IF(IF(ISNA(INDEX(СГИ!$P$3:$AI$22,VLOOKUP($P40,СГИ!$N$3:$O$22,2),HLOOKUP(Q$33,СГИ!$P$1:$AI$2,2))),"",INDEX(СГИ!$P$3:$AI$22,VLOOKUP($P40,СГИ!$N$3:$O$22,2),HLOOKUP(Q$33,СГИ!$P$1:$AI$2,2)))=1,CONCATENATE("при измерении ",$P40," ",Q$33," не допускается ! "),"")</f>
      </c>
      <c r="R40" s="277">
        <f>IF(IF(ISNA(INDEX(СГИ!$P$3:$AI$22,VLOOKUP($P40,СГИ!$N$3:$O$22,2),HLOOKUP(R$33,СГИ!$P$1:$AI$2,2))),"",INDEX(СГИ!$P$3:$AI$22,VLOOKUP($P40,СГИ!$N$3:$O$22,2),HLOOKUP(R$33,СГИ!$P$1:$AI$2,2)))=1,CONCATENATE("при измерении ",$P40," ",R$33," не допускается ! "),"")</f>
      </c>
      <c r="S40" s="277">
        <f>IF(IF(ISNA(INDEX(СГИ!$P$3:$AI$22,VLOOKUP($P40,СГИ!$N$3:$O$22,2),HLOOKUP(S$33,СГИ!$P$1:$AI$2,2))),"",INDEX(СГИ!$P$3:$AI$22,VLOOKUP($P40,СГИ!$N$3:$O$22,2),HLOOKUP(S$33,СГИ!$P$1:$AI$2,2)))=1,CONCATENATE("при измерении ",$P40," ",S$33," не допускается ! "),"")</f>
      </c>
      <c r="T40" s="277">
        <f>IF(IF(ISNA(INDEX(СГИ!$P$3:$AI$22,VLOOKUP($P40,СГИ!$N$3:$O$22,2),HLOOKUP(T$33,СГИ!$P$1:$AI$2,2))),"",INDEX(СГИ!$P$3:$AI$22,VLOOKUP($P40,СГИ!$N$3:$O$22,2),HLOOKUP(T$33,СГИ!$P$1:$AI$2,2)))=1,CONCATENATE("при измерении ",$P40," ",T$33," не допускается ! "),"")</f>
      </c>
      <c r="U40" s="277">
        <f>IF(IF(ISNA(INDEX(СГИ!$P$3:$AI$22,VLOOKUP($P40,СГИ!$N$3:$O$22,2),HLOOKUP(U$33,СГИ!$P$1:$AI$2,2))),"",INDEX(СГИ!$P$3:$AI$22,VLOOKUP($P40,СГИ!$N$3:$O$22,2),HLOOKUP(U$33,СГИ!$P$1:$AI$2,2)))=1,CONCATENATE("при измерении ",$P40," ",U$33," не допускается ! "),"")</f>
      </c>
      <c r="V40" s="277">
        <f>IF(IF(ISNA(INDEX(СГИ!$P$3:$AI$22,VLOOKUP($P40,СГИ!$N$3:$O$22,2),HLOOKUP(V$33,СГИ!$P$1:$AI$2,2))),"",INDEX(СГИ!$P$3:$AI$22,VLOOKUP($P40,СГИ!$N$3:$O$22,2),HLOOKUP(V$33,СГИ!$P$1:$AI$2,2)))=1,CONCATENATE("при измерении ",$P40," ",V$33," не допускается ! "),"")</f>
      </c>
      <c r="W40" s="277">
        <f>IF(IF(ISNA(INDEX(СГИ!$P$3:$AI$22,VLOOKUP($P40,СГИ!$N$3:$O$22,2),HLOOKUP(W$33,СГИ!$P$1:$AI$2,2))),"",INDEX(СГИ!$P$3:$AI$22,VLOOKUP($P40,СГИ!$N$3:$O$22,2),HLOOKUP(W$33,СГИ!$P$1:$AI$2,2)))=1,CONCATENATE("при измерении ",$P40," ",W$33," не допускается ! "),"")</f>
      </c>
      <c r="X40" s="277">
        <f>IF(IF(ISNA(INDEX(СГИ!$P$3:$AI$22,VLOOKUP($P40,СГИ!$N$3:$O$22,2),HLOOKUP(X$33,СГИ!$P$1:$AI$2,2))),"",INDEX(СГИ!$P$3:$AI$22,VLOOKUP($P40,СГИ!$N$3:$O$22,2),HLOOKUP(X$33,СГИ!$P$1:$AI$2,2)))=1,CONCATENATE("при измерении ",$P40," ",X$33," не допускается ! "),"")</f>
      </c>
      <c r="Y40" s="277">
        <f>IF(IF(ISNA(INDEX(СГИ!$P$3:$AI$22,VLOOKUP($P40,СГИ!$N$3:$O$22,2),HLOOKUP(Y$33,СГИ!$P$1:$AI$2,2))),"",INDEX(СГИ!$P$3:$AI$22,VLOOKUP($P40,СГИ!$N$3:$O$22,2),HLOOKUP(Y$33,СГИ!$P$1:$AI$2,2)))=1,CONCATENATE("при измерении ",$P40," ",Y$33," не допускается ! "),"")</f>
      </c>
      <c r="Z40" s="277">
        <f>IF(IF(ISNA(INDEX(СГИ!$P$3:$AI$22,VLOOKUP($P40,СГИ!$N$3:$O$22,2),HLOOKUP(Z$33,СГИ!$P$1:$AI$2,2))),"",INDEX(СГИ!$P$3:$AI$22,VLOOKUP($P40,СГИ!$N$3:$O$22,2),HLOOKUP(Z$33,СГИ!$P$1:$AI$2,2)))=1,CONCATENATE("при измерении ",$P40," ",Z$33," не допускается ! "),"")</f>
      </c>
      <c r="AA40" s="277">
        <f>IF(IF(ISNA(INDEX(СГИ!$P$3:$AI$22,VLOOKUP($P40,СГИ!$N$3:$O$22,2),HLOOKUP(AA$33,СГИ!$P$1:$AI$2,2))),"",INDEX(СГИ!$P$3:$AI$22,VLOOKUP($P40,СГИ!$N$3:$O$22,2),HLOOKUP(AA$33,СГИ!$P$1:$AI$2,2)))=1,CONCATENATE("при измерении ",$P40," ",AA$33," не допускается ! "),"")</f>
      </c>
      <c r="AB40" s="277">
        <f>IF(IF(ISNA(INDEX(СГИ!$P$3:$AI$22,VLOOKUP($P40,СГИ!$N$3:$O$22,2),HLOOKUP(AB$33,СГИ!$P$1:$AI$2,2))),"",INDEX(СГИ!$P$3:$AI$22,VLOOKUP($P40,СГИ!$N$3:$O$22,2),HLOOKUP(AB$33,СГИ!$P$1:$AI$2,2)))=1,CONCATENATE("при измерении ",$P40," ",AB$33," не допускается ! "),"")</f>
      </c>
      <c r="AC40" s="277">
        <f>IF(IF(ISNA(INDEX(СГИ!$P$3:$AI$22,VLOOKUP($P40,СГИ!$N$3:$O$22,2),HLOOKUP(AC$33,СГИ!$P$1:$AI$2,2))),"",INDEX(СГИ!$P$3:$AI$22,VLOOKUP($P40,СГИ!$N$3:$O$22,2),HLOOKUP(AC$33,СГИ!$P$1:$AI$2,2)))=1,CONCATENATE("при измерении ",$P40," ",AC$33," не допускается ! "),"")</f>
      </c>
      <c r="AD40" s="277">
        <f>IF(IF(ISNA(INDEX(СГИ!$P$3:$AI$22,VLOOKUP($P40,СГИ!$N$3:$O$22,2),HLOOKUP(AD$33,СГИ!$P$1:$AI$2,2))),"",INDEX(СГИ!$P$3:$AI$22,VLOOKUP($P40,СГИ!$N$3:$O$22,2),HLOOKUP(AD$33,СГИ!$P$1:$AI$2,2)))=1,CONCATENATE("при измерении ",$P40," ",AD$33," не допускается ! "),"")</f>
      </c>
      <c r="AE40" s="277">
        <f>IF(IF(ISNA(INDEX(СГИ!$P$3:$AI$22,VLOOKUP($P40,СГИ!$N$3:$O$22,2),HLOOKUP(AE$33,СГИ!$P$1:$AI$2,2))),"",INDEX(СГИ!$P$3:$AI$22,VLOOKUP($P40,СГИ!$N$3:$O$22,2),HLOOKUP(AE$33,СГИ!$P$1:$AI$2,2)))=1,CONCATENATE("при измерении ",$P40," ",AE$33," не допускается ! "),"")</f>
      </c>
      <c r="AF40" s="277">
        <f>IF(IF(ISNA(INDEX(СГИ!$P$3:$AI$22,VLOOKUP($P40,СГИ!$N$3:$O$22,2),HLOOKUP(AF$33,СГИ!$P$1:$AI$2,2))),"",INDEX(СГИ!$P$3:$AI$22,VLOOKUP($P40,СГИ!$N$3:$O$22,2),HLOOKUP(AF$33,СГИ!$P$1:$AI$2,2)))=1,CONCATENATE("при измерении ",$P40," ",AF$33," не допускается ! "),"")</f>
      </c>
      <c r="AG40" s="277">
        <f>IF(IF(ISNA(INDEX(СГИ!$P$3:$AI$22,VLOOKUP($P40,СГИ!$N$3:$O$22,2),HLOOKUP(AG$33,СГИ!$P$1:$AI$2,2))),"",INDEX(СГИ!$P$3:$AI$22,VLOOKUP($P40,СГИ!$N$3:$O$22,2),HLOOKUP(AG$33,СГИ!$P$1:$AI$2,2)))=1,CONCATENATE("при измерении ",$P40," ",AG$33," не допускается ! "),"")</f>
      </c>
      <c r="AH40" s="372">
        <f>IF(IF(ISNA(INDEX(СГИ!$P$3:$AI$22,VLOOKUP($P40,СГИ!$N$3:$O$22,2),HLOOKUP(AH$33,СГИ!$P$1:$AI$2,2))),"",INDEX(СГИ!$P$3:$AI$22,VLOOKUP($P40,СГИ!$N$3:$O$22,2),HLOOKUP(AH$33,СГИ!$P$1:$AI$2,2)))=1,CONCATENATE("при измерении ",$P40," ",AH$33," не допускается ! "),"")</f>
      </c>
      <c r="AI40">
        <f t="shared" si="8"/>
      </c>
    </row>
    <row r="41" spans="1:35" ht="13.5" thickBot="1">
      <c r="A41" s="413"/>
      <c r="B41" s="426"/>
      <c r="C41" s="426"/>
      <c r="D41" s="332" t="s">
        <v>136</v>
      </c>
      <c r="E41" s="368"/>
      <c r="F41" s="417" t="str">
        <f t="shared" si="6"/>
        <v>&lt;- введите данные, где необходимо</v>
      </c>
      <c r="H41" s="863" t="s">
        <v>437</v>
      </c>
      <c r="I41" s="864" t="str">
        <f>IF(I40="проверьте ввод данных","--",SUM(I40:I40)*ПГ!B2)</f>
        <v>--</v>
      </c>
      <c r="J41" s="885">
        <f aca="true" t="shared" si="9" ref="J41:J51">IF($E41=1,CONCATENATE("-",$D41),"")</f>
      </c>
      <c r="K41" s="337">
        <f t="shared" si="7"/>
        <v>0</v>
      </c>
      <c r="N41" s="371">
        <f>IF(E41&gt;0,ПГ!E14,"")</f>
      </c>
      <c r="P41" s="276">
        <f t="shared" si="5"/>
      </c>
      <c r="Q41" s="277">
        <f>IF(IF(ISNA(INDEX(СГИ!$P$3:$AI$22,VLOOKUP($P41,СГИ!$N$3:$O$22,2),HLOOKUP(Q$33,СГИ!$P$1:$AI$2,2))),"",INDEX(СГИ!$P$3:$AI$22,VLOOKUP($P41,СГИ!$N$3:$O$22,2),HLOOKUP(Q$33,СГИ!$P$1:$AI$2,2)))=1,CONCATENATE("при измерении ",$P41," ",Q$33," не допускается ! "),"")</f>
      </c>
      <c r="R41" s="277">
        <f>IF(IF(ISNA(INDEX(СГИ!$P$3:$AI$22,VLOOKUP($P41,СГИ!$N$3:$O$22,2),HLOOKUP(R$33,СГИ!$P$1:$AI$2,2))),"",INDEX(СГИ!$P$3:$AI$22,VLOOKUP($P41,СГИ!$N$3:$O$22,2),HLOOKUP(R$33,СГИ!$P$1:$AI$2,2)))=1,CONCATENATE("при измерении ",$P41," ",R$33," не допускается ! "),"")</f>
      </c>
      <c r="S41" s="277">
        <f>IF(IF(ISNA(INDEX(СГИ!$P$3:$AI$22,VLOOKUP($P41,СГИ!$N$3:$O$22,2),HLOOKUP(S$33,СГИ!$P$1:$AI$2,2))),"",INDEX(СГИ!$P$3:$AI$22,VLOOKUP($P41,СГИ!$N$3:$O$22,2),HLOOKUP(S$33,СГИ!$P$1:$AI$2,2)))=1,CONCATENATE("при измерении ",$P41," ",S$33," не допускается ! "),"")</f>
      </c>
      <c r="T41" s="277">
        <f>IF(IF(ISNA(INDEX(СГИ!$P$3:$AI$22,VLOOKUP($P41,СГИ!$N$3:$O$22,2),HLOOKUP(T$33,СГИ!$P$1:$AI$2,2))),"",INDEX(СГИ!$P$3:$AI$22,VLOOKUP($P41,СГИ!$N$3:$O$22,2),HLOOKUP(T$33,СГИ!$P$1:$AI$2,2)))=1,CONCATENATE("при измерении ",$P41," ",T$33," не допускается ! "),"")</f>
      </c>
      <c r="U41" s="277">
        <f>IF(IF(ISNA(INDEX(СГИ!$P$3:$AI$22,VLOOKUP($P41,СГИ!$N$3:$O$22,2),HLOOKUP(U$33,СГИ!$P$1:$AI$2,2))),"",INDEX(СГИ!$P$3:$AI$22,VLOOKUP($P41,СГИ!$N$3:$O$22,2),HLOOKUP(U$33,СГИ!$P$1:$AI$2,2)))=1,CONCATENATE("при измерении ",$P41," ",U$33," не допускается ! "),"")</f>
      </c>
      <c r="V41" s="277">
        <f>IF(IF(ISNA(INDEX(СГИ!$P$3:$AI$22,VLOOKUP($P41,СГИ!$N$3:$O$22,2),HLOOKUP(V$33,СГИ!$P$1:$AI$2,2))),"",INDEX(СГИ!$P$3:$AI$22,VLOOKUP($P41,СГИ!$N$3:$O$22,2),HLOOKUP(V$33,СГИ!$P$1:$AI$2,2)))=1,CONCATENATE("при измерении ",$P41," ",V$33," не допускается ! "),"")</f>
      </c>
      <c r="W41" s="277">
        <f>IF(IF(ISNA(INDEX(СГИ!$P$3:$AI$22,VLOOKUP($P41,СГИ!$N$3:$O$22,2),HLOOKUP(W$33,СГИ!$P$1:$AI$2,2))),"",INDEX(СГИ!$P$3:$AI$22,VLOOKUP($P41,СГИ!$N$3:$O$22,2),HLOOKUP(W$33,СГИ!$P$1:$AI$2,2)))=1,CONCATENATE("при измерении ",$P41," ",W$33," не допускается ! "),"")</f>
      </c>
      <c r="X41" s="277">
        <f>IF(IF(ISNA(INDEX(СГИ!$P$3:$AI$22,VLOOKUP($P41,СГИ!$N$3:$O$22,2),HLOOKUP(X$33,СГИ!$P$1:$AI$2,2))),"",INDEX(СГИ!$P$3:$AI$22,VLOOKUP($P41,СГИ!$N$3:$O$22,2),HLOOKUP(X$33,СГИ!$P$1:$AI$2,2)))=1,CONCATENATE("при измерении ",$P41," ",X$33," не допускается ! "),"")</f>
      </c>
      <c r="Y41" s="277">
        <f>IF(IF(ISNA(INDEX(СГИ!$P$3:$AI$22,VLOOKUP($P41,СГИ!$N$3:$O$22,2),HLOOKUP(Y$33,СГИ!$P$1:$AI$2,2))),"",INDEX(СГИ!$P$3:$AI$22,VLOOKUP($P41,СГИ!$N$3:$O$22,2),HLOOKUP(Y$33,СГИ!$P$1:$AI$2,2)))=1,CONCATENATE("при измерении ",$P41," ",Y$33," не допускается ! "),"")</f>
      </c>
      <c r="Z41" s="277">
        <f>IF(IF(ISNA(INDEX(СГИ!$P$3:$AI$22,VLOOKUP($P41,СГИ!$N$3:$O$22,2),HLOOKUP(Z$33,СГИ!$P$1:$AI$2,2))),"",INDEX(СГИ!$P$3:$AI$22,VLOOKUP($P41,СГИ!$N$3:$O$22,2),HLOOKUP(Z$33,СГИ!$P$1:$AI$2,2)))=1,CONCATENATE("при измерении ",$P41," ",Z$33," не допускается ! "),"")</f>
      </c>
      <c r="AA41" s="277">
        <f>IF(IF(ISNA(INDEX(СГИ!$P$3:$AI$22,VLOOKUP($P41,СГИ!$N$3:$O$22,2),HLOOKUP(AA$33,СГИ!$P$1:$AI$2,2))),"",INDEX(СГИ!$P$3:$AI$22,VLOOKUP($P41,СГИ!$N$3:$O$22,2),HLOOKUP(AA$33,СГИ!$P$1:$AI$2,2)))=1,CONCATENATE("при измерении ",$P41," ",AA$33," не допускается ! "),"")</f>
      </c>
      <c r="AB41" s="277">
        <f>IF(IF(ISNA(INDEX(СГИ!$P$3:$AI$22,VLOOKUP($P41,СГИ!$N$3:$O$22,2),HLOOKUP(AB$33,СГИ!$P$1:$AI$2,2))),"",INDEX(СГИ!$P$3:$AI$22,VLOOKUP($P41,СГИ!$N$3:$O$22,2),HLOOKUP(AB$33,СГИ!$P$1:$AI$2,2)))=1,CONCATENATE("при измерении ",$P41," ",AB$33," не допускается ! "),"")</f>
      </c>
      <c r="AC41" s="277">
        <f>IF(IF(ISNA(INDEX(СГИ!$P$3:$AI$22,VLOOKUP($P41,СГИ!$N$3:$O$22,2),HLOOKUP(AC$33,СГИ!$P$1:$AI$2,2))),"",INDEX(СГИ!$P$3:$AI$22,VLOOKUP($P41,СГИ!$N$3:$O$22,2),HLOOKUP(AC$33,СГИ!$P$1:$AI$2,2)))=1,CONCATENATE("при измерении ",$P41," ",AC$33," не допускается ! "),"")</f>
      </c>
      <c r="AD41" s="277">
        <f>IF(IF(ISNA(INDEX(СГИ!$P$3:$AI$22,VLOOKUP($P41,СГИ!$N$3:$O$22,2),HLOOKUP(AD$33,СГИ!$P$1:$AI$2,2))),"",INDEX(СГИ!$P$3:$AI$22,VLOOKUP($P41,СГИ!$N$3:$O$22,2),HLOOKUP(AD$33,СГИ!$P$1:$AI$2,2)))=1,CONCATENATE("при измерении ",$P41," ",AD$33," не допускается ! "),"")</f>
      </c>
      <c r="AE41" s="277">
        <f>IF(IF(ISNA(INDEX(СГИ!$P$3:$AI$22,VLOOKUP($P41,СГИ!$N$3:$O$22,2),HLOOKUP(AE$33,СГИ!$P$1:$AI$2,2))),"",INDEX(СГИ!$P$3:$AI$22,VLOOKUP($P41,СГИ!$N$3:$O$22,2),HLOOKUP(AE$33,СГИ!$P$1:$AI$2,2)))=1,CONCATENATE("при измерении ",$P41," ",AE$33," не допускается ! "),"")</f>
      </c>
      <c r="AF41" s="277">
        <f>IF(IF(ISNA(INDEX(СГИ!$P$3:$AI$22,VLOOKUP($P41,СГИ!$N$3:$O$22,2),HLOOKUP(AF$33,СГИ!$P$1:$AI$2,2))),"",INDEX(СГИ!$P$3:$AI$22,VLOOKUP($P41,СГИ!$N$3:$O$22,2),HLOOKUP(AF$33,СГИ!$P$1:$AI$2,2)))=1,CONCATENATE("при измерении ",$P41," ",AF$33," не допускается ! "),"")</f>
      </c>
      <c r="AG41" s="277">
        <f>IF(IF(ISNA(INDEX(СГИ!$P$3:$AI$22,VLOOKUP($P41,СГИ!$N$3:$O$22,2),HLOOKUP(AG$33,СГИ!$P$1:$AI$2,2))),"",INDEX(СГИ!$P$3:$AI$22,VLOOKUP($P41,СГИ!$N$3:$O$22,2),HLOOKUP(AG$33,СГИ!$P$1:$AI$2,2)))=1,CONCATENATE("при измерении ",$P41," ",AG$33," не допускается ! "),"")</f>
      </c>
      <c r="AH41" s="372">
        <f>IF(IF(ISNA(INDEX(СГИ!$P$3:$AI$22,VLOOKUP($P41,СГИ!$N$3:$O$22,2),HLOOKUP(AH$33,СГИ!$P$1:$AI$2,2))),"",INDEX(СГИ!$P$3:$AI$22,VLOOKUP($P41,СГИ!$N$3:$O$22,2),HLOOKUP(AH$33,СГИ!$P$1:$AI$2,2)))=1,CONCATENATE("при измерении ",$P41," ",AH$33," не допускается ! "),"")</f>
      </c>
      <c r="AI41">
        <f t="shared" si="8"/>
      </c>
    </row>
    <row r="42" spans="1:35" ht="14.25">
      <c r="A42" s="413"/>
      <c r="B42" s="425"/>
      <c r="C42" s="425"/>
      <c r="D42" s="332" t="s">
        <v>391</v>
      </c>
      <c r="E42" s="368"/>
      <c r="F42" s="417" t="str">
        <f t="shared" si="6"/>
        <v>&lt;- введите данные, где необходимо</v>
      </c>
      <c r="H42" s="865" t="s">
        <v>394</v>
      </c>
      <c r="I42" s="866" t="str">
        <f>IF(I41="--","--",SUM(I40:I41))</f>
        <v>--</v>
      </c>
      <c r="J42" s="885">
        <f t="shared" si="9"/>
      </c>
      <c r="K42" s="337">
        <f t="shared" si="7"/>
        <v>0</v>
      </c>
      <c r="N42" s="371">
        <f>IF(E42&gt;0,ПГ!E15,"")</f>
      </c>
      <c r="P42" s="276">
        <f t="shared" si="5"/>
      </c>
      <c r="Q42" s="277">
        <f>IF(IF(ISNA(INDEX(СГИ!$P$3:$AI$22,VLOOKUP($P42,СГИ!$N$3:$O$22,2),HLOOKUP(Q$33,СГИ!$P$1:$AI$2,2))),"",INDEX(СГИ!$P$3:$AI$22,VLOOKUP($P42,СГИ!$N$3:$O$22,2),HLOOKUP(Q$33,СГИ!$P$1:$AI$2,2)))=1,CONCATENATE("при измерении ",$P42," ",Q$33," не допускается ! "),"")</f>
      </c>
      <c r="R42" s="277">
        <f>IF(IF(ISNA(INDEX(СГИ!$P$3:$AI$22,VLOOKUP($P42,СГИ!$N$3:$O$22,2),HLOOKUP(R$33,СГИ!$P$1:$AI$2,2))),"",INDEX(СГИ!$P$3:$AI$22,VLOOKUP($P42,СГИ!$N$3:$O$22,2),HLOOKUP(R$33,СГИ!$P$1:$AI$2,2)))=1,CONCATENATE("при измерении ",$P42," ",R$33," не допускается ! "),"")</f>
      </c>
      <c r="S42" s="277">
        <f>IF(IF(ISNA(INDEX(СГИ!$P$3:$AI$22,VLOOKUP($P42,СГИ!$N$3:$O$22,2),HLOOKUP(S$33,СГИ!$P$1:$AI$2,2))),"",INDEX(СГИ!$P$3:$AI$22,VLOOKUP($P42,СГИ!$N$3:$O$22,2),HLOOKUP(S$33,СГИ!$P$1:$AI$2,2)))=1,CONCATENATE("при измерении ",$P42," ",S$33," не допускается ! "),"")</f>
      </c>
      <c r="T42" s="277">
        <f>IF(IF(ISNA(INDEX(СГИ!$P$3:$AI$22,VLOOKUP($P42,СГИ!$N$3:$O$22,2),HLOOKUP(T$33,СГИ!$P$1:$AI$2,2))),"",INDEX(СГИ!$P$3:$AI$22,VLOOKUP($P42,СГИ!$N$3:$O$22,2),HLOOKUP(T$33,СГИ!$P$1:$AI$2,2)))=1,CONCATENATE("при измерении ",$P42," ",T$33," не допускается ! "),"")</f>
      </c>
      <c r="U42" s="277">
        <f>IF(IF(ISNA(INDEX(СГИ!$P$3:$AI$22,VLOOKUP($P42,СГИ!$N$3:$O$22,2),HLOOKUP(U$33,СГИ!$P$1:$AI$2,2))),"",INDEX(СГИ!$P$3:$AI$22,VLOOKUP($P42,СГИ!$N$3:$O$22,2),HLOOKUP(U$33,СГИ!$P$1:$AI$2,2)))=1,CONCATENATE("при измерении ",$P42," ",U$33," не допускается ! "),"")</f>
      </c>
      <c r="V42" s="277">
        <f>IF(IF(ISNA(INDEX(СГИ!$P$3:$AI$22,VLOOKUP($P42,СГИ!$N$3:$O$22,2),HLOOKUP(V$33,СГИ!$P$1:$AI$2,2))),"",INDEX(СГИ!$P$3:$AI$22,VLOOKUP($P42,СГИ!$N$3:$O$22,2),HLOOKUP(V$33,СГИ!$P$1:$AI$2,2)))=1,CONCATENATE("при измерении ",$P42," ",V$33," не допускается ! "),"")</f>
      </c>
      <c r="W42" s="277">
        <f>IF(IF(ISNA(INDEX(СГИ!$P$3:$AI$22,VLOOKUP($P42,СГИ!$N$3:$O$22,2),HLOOKUP(W$33,СГИ!$P$1:$AI$2,2))),"",INDEX(СГИ!$P$3:$AI$22,VLOOKUP($P42,СГИ!$N$3:$O$22,2),HLOOKUP(W$33,СГИ!$P$1:$AI$2,2)))=1,CONCATENATE("при измерении ",$P42," ",W$33," не допускается ! "),"")</f>
      </c>
      <c r="X42" s="277">
        <f>IF(IF(ISNA(INDEX(СГИ!$P$3:$AI$22,VLOOKUP($P42,СГИ!$N$3:$O$22,2),HLOOKUP(X$33,СГИ!$P$1:$AI$2,2))),"",INDEX(СГИ!$P$3:$AI$22,VLOOKUP($P42,СГИ!$N$3:$O$22,2),HLOOKUP(X$33,СГИ!$P$1:$AI$2,2)))=1,CONCATENATE("при измерении ",$P42," ",X$33," не допускается ! "),"")</f>
      </c>
      <c r="Y42" s="277">
        <f>IF(IF(ISNA(INDEX(СГИ!$P$3:$AI$22,VLOOKUP($P42,СГИ!$N$3:$O$22,2),HLOOKUP(Y$33,СГИ!$P$1:$AI$2,2))),"",INDEX(СГИ!$P$3:$AI$22,VLOOKUP($P42,СГИ!$N$3:$O$22,2),HLOOKUP(Y$33,СГИ!$P$1:$AI$2,2)))=1,CONCATENATE("при измерении ",$P42," ",Y$33," не допускается ! "),"")</f>
      </c>
      <c r="Z42" s="277">
        <f>IF(IF(ISNA(INDEX(СГИ!$P$3:$AI$22,VLOOKUP($P42,СГИ!$N$3:$O$22,2),HLOOKUP(Z$33,СГИ!$P$1:$AI$2,2))),"",INDEX(СГИ!$P$3:$AI$22,VLOOKUP($P42,СГИ!$N$3:$O$22,2),HLOOKUP(Z$33,СГИ!$P$1:$AI$2,2)))=1,CONCATENATE("при измерении ",$P42," ",Z$33," не допускается ! "),"")</f>
      </c>
      <c r="AA42" s="277">
        <f>IF(IF(ISNA(INDEX(СГИ!$P$3:$AI$22,VLOOKUP($P42,СГИ!$N$3:$O$22,2),HLOOKUP(AA$33,СГИ!$P$1:$AI$2,2))),"",INDEX(СГИ!$P$3:$AI$22,VLOOKUP($P42,СГИ!$N$3:$O$22,2),HLOOKUP(AA$33,СГИ!$P$1:$AI$2,2)))=1,CONCATENATE("при измерении ",$P42," ",AA$33," не допускается ! "),"")</f>
      </c>
      <c r="AB42" s="277">
        <f>IF(IF(ISNA(INDEX(СГИ!$P$3:$AI$22,VLOOKUP($P42,СГИ!$N$3:$O$22,2),HLOOKUP(AB$33,СГИ!$P$1:$AI$2,2))),"",INDEX(СГИ!$P$3:$AI$22,VLOOKUP($P42,СГИ!$N$3:$O$22,2),HLOOKUP(AB$33,СГИ!$P$1:$AI$2,2)))=1,CONCATENATE("при измерении ",$P42," ",AB$33," не допускается ! "),"")</f>
      </c>
      <c r="AC42" s="277">
        <f>IF(IF(ISNA(INDEX(СГИ!$P$3:$AI$22,VLOOKUP($P42,СГИ!$N$3:$O$22,2),HLOOKUP(AC$33,СГИ!$P$1:$AI$2,2))),"",INDEX(СГИ!$P$3:$AI$22,VLOOKUP($P42,СГИ!$N$3:$O$22,2),HLOOKUP(AC$33,СГИ!$P$1:$AI$2,2)))=1,CONCATENATE("при измерении ",$P42," ",AC$33," не допускается ! "),"")</f>
      </c>
      <c r="AD42" s="277">
        <f>IF(IF(ISNA(INDEX(СГИ!$P$3:$AI$22,VLOOKUP($P42,СГИ!$N$3:$O$22,2),HLOOKUP(AD$33,СГИ!$P$1:$AI$2,2))),"",INDEX(СГИ!$P$3:$AI$22,VLOOKUP($P42,СГИ!$N$3:$O$22,2),HLOOKUP(AD$33,СГИ!$P$1:$AI$2,2)))=1,CONCATENATE("при измерении ",$P42," ",AD$33," не допускается ! "),"")</f>
      </c>
      <c r="AE42" s="277">
        <f>IF(IF(ISNA(INDEX(СГИ!$P$3:$AI$22,VLOOKUP($P42,СГИ!$N$3:$O$22,2),HLOOKUP(AE$33,СГИ!$P$1:$AI$2,2))),"",INDEX(СГИ!$P$3:$AI$22,VLOOKUP($P42,СГИ!$N$3:$O$22,2),HLOOKUP(AE$33,СГИ!$P$1:$AI$2,2)))=1,CONCATENATE("при измерении ",$P42," ",AE$33," не допускается ! "),"")</f>
      </c>
      <c r="AF42" s="277">
        <f>IF(IF(ISNA(INDEX(СГИ!$P$3:$AI$22,VLOOKUP($P42,СГИ!$N$3:$O$22,2),HLOOKUP(AF$33,СГИ!$P$1:$AI$2,2))),"",INDEX(СГИ!$P$3:$AI$22,VLOOKUP($P42,СГИ!$N$3:$O$22,2),HLOOKUP(AF$33,СГИ!$P$1:$AI$2,2)))=1,CONCATENATE("при измерении ",$P42," ",AF$33," не допускается ! "),"")</f>
      </c>
      <c r="AG42" s="277">
        <f>IF(IF(ISNA(INDEX(СГИ!$P$3:$AI$22,VLOOKUP($P42,СГИ!$N$3:$O$22,2),HLOOKUP(AG$33,СГИ!$P$1:$AI$2,2))),"",INDEX(СГИ!$P$3:$AI$22,VLOOKUP($P42,СГИ!$N$3:$O$22,2),HLOOKUP(AG$33,СГИ!$P$1:$AI$2,2)))=1,CONCATENATE("при измерении ",$P42," ",AG$33," не допускается ! "),"")</f>
      </c>
      <c r="AH42" s="372">
        <f>IF(IF(ISNA(INDEX(СГИ!$P$3:$AI$22,VLOOKUP($P42,СГИ!$N$3:$O$22,2),HLOOKUP(AH$33,СГИ!$P$1:$AI$2,2))),"",INDEX(СГИ!$P$3:$AI$22,VLOOKUP($P42,СГИ!$N$3:$O$22,2),HLOOKUP(AH$33,СГИ!$P$1:$AI$2,2)))=1,CONCATENATE("при измерении ",$P42," ",AH$33," не допускается ! "),"")</f>
      </c>
      <c r="AI42">
        <f t="shared" si="8"/>
      </c>
    </row>
    <row r="43" spans="1:35" ht="14.25">
      <c r="A43" s="413"/>
      <c r="B43" s="425"/>
      <c r="C43" s="425"/>
      <c r="D43" s="332" t="s">
        <v>393</v>
      </c>
      <c r="E43" s="368"/>
      <c r="F43" s="417" t="str">
        <f t="shared" si="6"/>
        <v>&lt;- введите данные, где необходимо</v>
      </c>
      <c r="H43" s="867"/>
      <c r="I43" s="868"/>
      <c r="J43" s="885">
        <f t="shared" si="9"/>
      </c>
      <c r="K43" s="337">
        <f t="shared" si="7"/>
        <v>0</v>
      </c>
      <c r="N43" s="371">
        <f>IF(E43&gt;0,ПГ!E16,"")</f>
      </c>
      <c r="P43" s="276">
        <f t="shared" si="5"/>
      </c>
      <c r="Q43" s="277">
        <f>IF(IF(ISNA(INDEX(СГИ!$P$3:$AI$22,VLOOKUP($P43,СГИ!$N$3:$O$22,2),HLOOKUP(Q$33,СГИ!$P$1:$AI$2,2))),"",INDEX(СГИ!$P$3:$AI$22,VLOOKUP($P43,СГИ!$N$3:$O$22,2),HLOOKUP(Q$33,СГИ!$P$1:$AI$2,2)))=1,CONCATENATE("при измерении ",$P43," ",Q$33," не допускается ! "),"")</f>
      </c>
      <c r="R43" s="277">
        <f>IF(IF(ISNA(INDEX(СГИ!$P$3:$AI$22,VLOOKUP($P43,СГИ!$N$3:$O$22,2),HLOOKUP(R$33,СГИ!$P$1:$AI$2,2))),"",INDEX(СГИ!$P$3:$AI$22,VLOOKUP($P43,СГИ!$N$3:$O$22,2),HLOOKUP(R$33,СГИ!$P$1:$AI$2,2)))=1,CONCATENATE("при измерении ",$P43," ",R$33," не допускается ! "),"")</f>
      </c>
      <c r="S43" s="277">
        <f>IF(IF(ISNA(INDEX(СГИ!$P$3:$AI$22,VLOOKUP($P43,СГИ!$N$3:$O$22,2),HLOOKUP(S$33,СГИ!$P$1:$AI$2,2))),"",INDEX(СГИ!$P$3:$AI$22,VLOOKUP($P43,СГИ!$N$3:$O$22,2),HLOOKUP(S$33,СГИ!$P$1:$AI$2,2)))=1,CONCATENATE("при измерении ",$P43," ",S$33," не допускается ! "),"")</f>
      </c>
      <c r="T43" s="277">
        <f>IF(IF(ISNA(INDEX(СГИ!$P$3:$AI$22,VLOOKUP($P43,СГИ!$N$3:$O$22,2),HLOOKUP(T$33,СГИ!$P$1:$AI$2,2))),"",INDEX(СГИ!$P$3:$AI$22,VLOOKUP($P43,СГИ!$N$3:$O$22,2),HLOOKUP(T$33,СГИ!$P$1:$AI$2,2)))=1,CONCATENATE("при измерении ",$P43," ",T$33," не допускается ! "),"")</f>
      </c>
      <c r="U43" s="277">
        <f>IF(IF(ISNA(INDEX(СГИ!$P$3:$AI$22,VLOOKUP($P43,СГИ!$N$3:$O$22,2),HLOOKUP(U$33,СГИ!$P$1:$AI$2,2))),"",INDEX(СГИ!$P$3:$AI$22,VLOOKUP($P43,СГИ!$N$3:$O$22,2),HLOOKUP(U$33,СГИ!$P$1:$AI$2,2)))=1,CONCATENATE("при измерении ",$P43," ",U$33," не допускается ! "),"")</f>
      </c>
      <c r="V43" s="277">
        <f>IF(IF(ISNA(INDEX(СГИ!$P$3:$AI$22,VLOOKUP($P43,СГИ!$N$3:$O$22,2),HLOOKUP(V$33,СГИ!$P$1:$AI$2,2))),"",INDEX(СГИ!$P$3:$AI$22,VLOOKUP($P43,СГИ!$N$3:$O$22,2),HLOOKUP(V$33,СГИ!$P$1:$AI$2,2)))=1,CONCATENATE("при измерении ",$P43," ",V$33," не допускается ! "),"")</f>
      </c>
      <c r="W43" s="277">
        <f>IF(IF(ISNA(INDEX(СГИ!$P$3:$AI$22,VLOOKUP($P43,СГИ!$N$3:$O$22,2),HLOOKUP(W$33,СГИ!$P$1:$AI$2,2))),"",INDEX(СГИ!$P$3:$AI$22,VLOOKUP($P43,СГИ!$N$3:$O$22,2),HLOOKUP(W$33,СГИ!$P$1:$AI$2,2)))=1,CONCATENATE("при измерении ",$P43," ",W$33," не допускается ! "),"")</f>
      </c>
      <c r="X43" s="277">
        <f>IF(IF(ISNA(INDEX(СГИ!$P$3:$AI$22,VLOOKUP($P43,СГИ!$N$3:$O$22,2),HLOOKUP(X$33,СГИ!$P$1:$AI$2,2))),"",INDEX(СГИ!$P$3:$AI$22,VLOOKUP($P43,СГИ!$N$3:$O$22,2),HLOOKUP(X$33,СГИ!$P$1:$AI$2,2)))=1,CONCATENATE("при измерении ",$P43," ",X$33," не допускается ! "),"")</f>
      </c>
      <c r="Y43" s="277">
        <f>IF(IF(ISNA(INDEX(СГИ!$P$3:$AI$22,VLOOKUP($P43,СГИ!$N$3:$O$22,2),HLOOKUP(Y$33,СГИ!$P$1:$AI$2,2))),"",INDEX(СГИ!$P$3:$AI$22,VLOOKUP($P43,СГИ!$N$3:$O$22,2),HLOOKUP(Y$33,СГИ!$P$1:$AI$2,2)))=1,CONCATENATE("при измерении ",$P43," ",Y$33," не допускается ! "),"")</f>
      </c>
      <c r="Z43" s="277">
        <f>IF(IF(ISNA(INDEX(СГИ!$P$3:$AI$22,VLOOKUP($P43,СГИ!$N$3:$O$22,2),HLOOKUP(Z$33,СГИ!$P$1:$AI$2,2))),"",INDEX(СГИ!$P$3:$AI$22,VLOOKUP($P43,СГИ!$N$3:$O$22,2),HLOOKUP(Z$33,СГИ!$P$1:$AI$2,2)))=1,CONCATENATE("при измерении ",$P43," ",Z$33," не допускается ! "),"")</f>
      </c>
      <c r="AA43" s="277">
        <f>IF(IF(ISNA(INDEX(СГИ!$P$3:$AI$22,VLOOKUP($P43,СГИ!$N$3:$O$22,2),HLOOKUP(AA$33,СГИ!$P$1:$AI$2,2))),"",INDEX(СГИ!$P$3:$AI$22,VLOOKUP($P43,СГИ!$N$3:$O$22,2),HLOOKUP(AA$33,СГИ!$P$1:$AI$2,2)))=1,CONCATENATE("при измерении ",$P43," ",AA$33," не допускается ! "),"")</f>
      </c>
      <c r="AB43" s="277">
        <f>IF(IF(ISNA(INDEX(СГИ!$P$3:$AI$22,VLOOKUP($P43,СГИ!$N$3:$O$22,2),HLOOKUP(AB$33,СГИ!$P$1:$AI$2,2))),"",INDEX(СГИ!$P$3:$AI$22,VLOOKUP($P43,СГИ!$N$3:$O$22,2),HLOOKUP(AB$33,СГИ!$P$1:$AI$2,2)))=1,CONCATENATE("при измерении ",$P43," ",AB$33," не допускается ! "),"")</f>
      </c>
      <c r="AC43" s="277">
        <f>IF(IF(ISNA(INDEX(СГИ!$P$3:$AI$22,VLOOKUP($P43,СГИ!$N$3:$O$22,2),HLOOKUP(AC$33,СГИ!$P$1:$AI$2,2))),"",INDEX(СГИ!$P$3:$AI$22,VLOOKUP($P43,СГИ!$N$3:$O$22,2),HLOOKUP(AC$33,СГИ!$P$1:$AI$2,2)))=1,CONCATENATE("при измерении ",$P43," ",AC$33," не допускается ! "),"")</f>
      </c>
      <c r="AD43" s="277">
        <f>IF(IF(ISNA(INDEX(СГИ!$P$3:$AI$22,VLOOKUP($P43,СГИ!$N$3:$O$22,2),HLOOKUP(AD$33,СГИ!$P$1:$AI$2,2))),"",INDEX(СГИ!$P$3:$AI$22,VLOOKUP($P43,СГИ!$N$3:$O$22,2),HLOOKUP(AD$33,СГИ!$P$1:$AI$2,2)))=1,CONCATENATE("при измерении ",$P43," ",AD$33," не допускается ! "),"")</f>
      </c>
      <c r="AE43" s="277">
        <f>IF(IF(ISNA(INDEX(СГИ!$P$3:$AI$22,VLOOKUP($P43,СГИ!$N$3:$O$22,2),HLOOKUP(AE$33,СГИ!$P$1:$AI$2,2))),"",INDEX(СГИ!$P$3:$AI$22,VLOOKUP($P43,СГИ!$N$3:$O$22,2),HLOOKUP(AE$33,СГИ!$P$1:$AI$2,2)))=1,CONCATENATE("при измерении ",$P43," ",AE$33," не допускается ! "),"")</f>
      </c>
      <c r="AF43" s="277">
        <f>IF(IF(ISNA(INDEX(СГИ!$P$3:$AI$22,VLOOKUP($P43,СГИ!$N$3:$O$22,2),HLOOKUP(AF$33,СГИ!$P$1:$AI$2,2))),"",INDEX(СГИ!$P$3:$AI$22,VLOOKUP($P43,СГИ!$N$3:$O$22,2),HLOOKUP(AF$33,СГИ!$P$1:$AI$2,2)))=1,CONCATENATE("при измерении ",$P43," ",AF$33," не допускается ! "),"")</f>
      </c>
      <c r="AG43" s="277">
        <f>IF(IF(ISNA(INDEX(СГИ!$P$3:$AI$22,VLOOKUP($P43,СГИ!$N$3:$O$22,2),HLOOKUP(AG$33,СГИ!$P$1:$AI$2,2))),"",INDEX(СГИ!$P$3:$AI$22,VLOOKUP($P43,СГИ!$N$3:$O$22,2),HLOOKUP(AG$33,СГИ!$P$1:$AI$2,2)))=1,CONCATENATE("при измерении ",$P43," ",AG$33," не допускается ! "),"")</f>
      </c>
      <c r="AH43" s="372">
        <f>IF(IF(ISNA(INDEX(СГИ!$P$3:$AI$22,VLOOKUP($P43,СГИ!$N$3:$O$22,2),HLOOKUP(AH$33,СГИ!$P$1:$AI$2,2))),"",INDEX(СГИ!$P$3:$AI$22,VLOOKUP($P43,СГИ!$N$3:$O$22,2),HLOOKUP(AH$33,СГИ!$P$1:$AI$2,2)))=1,CONCATENATE("при измерении ",$P43," ",AH$33," не допускается ! "),"")</f>
      </c>
      <c r="AI43">
        <f t="shared" si="8"/>
      </c>
    </row>
    <row r="44" spans="1:35" ht="14.25">
      <c r="A44" s="413"/>
      <c r="B44" s="427"/>
      <c r="C44" s="427"/>
      <c r="D44" s="332" t="s">
        <v>395</v>
      </c>
      <c r="E44" s="368"/>
      <c r="F44" s="417" t="str">
        <f t="shared" si="6"/>
        <v>&lt;- введите данные, где необходимо</v>
      </c>
      <c r="H44" s="880"/>
      <c r="I44" s="870" t="s">
        <v>423</v>
      </c>
      <c r="J44" s="885">
        <f t="shared" si="9"/>
      </c>
      <c r="K44" s="337">
        <f t="shared" si="7"/>
        <v>0</v>
      </c>
      <c r="N44" s="371">
        <f>IF(E44&gt;0,ПГ!E17,"")</f>
      </c>
      <c r="P44" s="276">
        <f t="shared" si="5"/>
      </c>
      <c r="Q44" s="277">
        <f>IF(IF(ISNA(INDEX(СГИ!$P$3:$AI$22,VLOOKUP($P44,СГИ!$N$3:$O$22,2),HLOOKUP(Q$33,СГИ!$P$1:$AI$2,2))),"",INDEX(СГИ!$P$3:$AI$22,VLOOKUP($P44,СГИ!$N$3:$O$22,2),HLOOKUP(Q$33,СГИ!$P$1:$AI$2,2)))=1,CONCATENATE("при измерении ",$P44," ",Q$33," не допускается ! "),"")</f>
      </c>
      <c r="R44" s="277">
        <f>IF(IF(ISNA(INDEX(СГИ!$P$3:$AI$22,VLOOKUP($P44,СГИ!$N$3:$O$22,2),HLOOKUP(R$33,СГИ!$P$1:$AI$2,2))),"",INDEX(СГИ!$P$3:$AI$22,VLOOKUP($P44,СГИ!$N$3:$O$22,2),HLOOKUP(R$33,СГИ!$P$1:$AI$2,2)))=1,CONCATENATE("при измерении ",$P44," ",R$33," не допускается ! "),"")</f>
      </c>
      <c r="S44" s="277">
        <f>IF(IF(ISNA(INDEX(СГИ!$P$3:$AI$22,VLOOKUP($P44,СГИ!$N$3:$O$22,2),HLOOKUP(S$33,СГИ!$P$1:$AI$2,2))),"",INDEX(СГИ!$P$3:$AI$22,VLOOKUP($P44,СГИ!$N$3:$O$22,2),HLOOKUP(S$33,СГИ!$P$1:$AI$2,2)))=1,CONCATENATE("при измерении ",$P44," ",S$33," не допускается ! "),"")</f>
      </c>
      <c r="T44" s="277">
        <f>IF(IF(ISNA(INDEX(СГИ!$P$3:$AI$22,VLOOKUP($P44,СГИ!$N$3:$O$22,2),HLOOKUP(T$33,СГИ!$P$1:$AI$2,2))),"",INDEX(СГИ!$P$3:$AI$22,VLOOKUP($P44,СГИ!$N$3:$O$22,2),HLOOKUP(T$33,СГИ!$P$1:$AI$2,2)))=1,CONCATENATE("при измерении ",$P44," ",T$33," не допускается ! "),"")</f>
      </c>
      <c r="U44" s="277">
        <f>IF(IF(ISNA(INDEX(СГИ!$P$3:$AI$22,VLOOKUP($P44,СГИ!$N$3:$O$22,2),HLOOKUP(U$33,СГИ!$P$1:$AI$2,2))),"",INDEX(СГИ!$P$3:$AI$22,VLOOKUP($P44,СГИ!$N$3:$O$22,2),HLOOKUP(U$33,СГИ!$P$1:$AI$2,2)))=1,CONCATENATE("при измерении ",$P44," ",U$33," не допускается ! "),"")</f>
      </c>
      <c r="V44" s="277">
        <f>IF(IF(ISNA(INDEX(СГИ!$P$3:$AI$22,VLOOKUP($P44,СГИ!$N$3:$O$22,2),HLOOKUP(V$33,СГИ!$P$1:$AI$2,2))),"",INDEX(СГИ!$P$3:$AI$22,VLOOKUP($P44,СГИ!$N$3:$O$22,2),HLOOKUP(V$33,СГИ!$P$1:$AI$2,2)))=1,CONCATENATE("при измерении ",$P44," ",V$33," не допускается ! "),"")</f>
      </c>
      <c r="W44" s="277">
        <f>IF(IF(ISNA(INDEX(СГИ!$P$3:$AI$22,VLOOKUP($P44,СГИ!$N$3:$O$22,2),HLOOKUP(W$33,СГИ!$P$1:$AI$2,2))),"",INDEX(СГИ!$P$3:$AI$22,VLOOKUP($P44,СГИ!$N$3:$O$22,2),HLOOKUP(W$33,СГИ!$P$1:$AI$2,2)))=1,CONCATENATE("при измерении ",$P44," ",W$33," не допускается ! "),"")</f>
      </c>
      <c r="X44" s="277">
        <f>IF(IF(ISNA(INDEX(СГИ!$P$3:$AI$22,VLOOKUP($P44,СГИ!$N$3:$O$22,2),HLOOKUP(X$33,СГИ!$P$1:$AI$2,2))),"",INDEX(СГИ!$P$3:$AI$22,VLOOKUP($P44,СГИ!$N$3:$O$22,2),HLOOKUP(X$33,СГИ!$P$1:$AI$2,2)))=1,CONCATENATE("при измерении ",$P44," ",X$33," не допускается ! "),"")</f>
      </c>
      <c r="Y44" s="277">
        <f>IF(IF(ISNA(INDEX(СГИ!$P$3:$AI$22,VLOOKUP($P44,СГИ!$N$3:$O$22,2),HLOOKUP(Y$33,СГИ!$P$1:$AI$2,2))),"",INDEX(СГИ!$P$3:$AI$22,VLOOKUP($P44,СГИ!$N$3:$O$22,2),HLOOKUP(Y$33,СГИ!$P$1:$AI$2,2)))=1,CONCATENATE("при измерении ",$P44," ",Y$33," не допускается ! "),"")</f>
      </c>
      <c r="Z44" s="277">
        <f>IF(IF(ISNA(INDEX(СГИ!$P$3:$AI$22,VLOOKUP($P44,СГИ!$N$3:$O$22,2),HLOOKUP(Z$33,СГИ!$P$1:$AI$2,2))),"",INDEX(СГИ!$P$3:$AI$22,VLOOKUP($P44,СГИ!$N$3:$O$22,2),HLOOKUP(Z$33,СГИ!$P$1:$AI$2,2)))=1,CONCATENATE("при измерении ",$P44," ",Z$33," не допускается ! "),"")</f>
      </c>
      <c r="AA44" s="277">
        <f>IF(IF(ISNA(INDEX(СГИ!$P$3:$AI$22,VLOOKUP($P44,СГИ!$N$3:$O$22,2),HLOOKUP(AA$33,СГИ!$P$1:$AI$2,2))),"",INDEX(СГИ!$P$3:$AI$22,VLOOKUP($P44,СГИ!$N$3:$O$22,2),HLOOKUP(AA$33,СГИ!$P$1:$AI$2,2)))=1,CONCATENATE("при измерении ",$P44," ",AA$33," не допускается ! "),"")</f>
      </c>
      <c r="AB44" s="277">
        <f>IF(IF(ISNA(INDEX(СГИ!$P$3:$AI$22,VLOOKUP($P44,СГИ!$N$3:$O$22,2),HLOOKUP(AB$33,СГИ!$P$1:$AI$2,2))),"",INDEX(СГИ!$P$3:$AI$22,VLOOKUP($P44,СГИ!$N$3:$O$22,2),HLOOKUP(AB$33,СГИ!$P$1:$AI$2,2)))=1,CONCATENATE("при измерении ",$P44," ",AB$33," не допускается ! "),"")</f>
      </c>
      <c r="AC44" s="277">
        <f>IF(IF(ISNA(INDEX(СГИ!$P$3:$AI$22,VLOOKUP($P44,СГИ!$N$3:$O$22,2),HLOOKUP(AC$33,СГИ!$P$1:$AI$2,2))),"",INDEX(СГИ!$P$3:$AI$22,VLOOKUP($P44,СГИ!$N$3:$O$22,2),HLOOKUP(AC$33,СГИ!$P$1:$AI$2,2)))=1,CONCATENATE("при измерении ",$P44," ",AC$33," не допускается ! "),"")</f>
      </c>
      <c r="AD44" s="277">
        <f>IF(IF(ISNA(INDEX(СГИ!$P$3:$AI$22,VLOOKUP($P44,СГИ!$N$3:$O$22,2),HLOOKUP(AD$33,СГИ!$P$1:$AI$2,2))),"",INDEX(СГИ!$P$3:$AI$22,VLOOKUP($P44,СГИ!$N$3:$O$22,2),HLOOKUP(AD$33,СГИ!$P$1:$AI$2,2)))=1,CONCATENATE("при измерении ",$P44," ",AD$33," не допускается ! "),"")</f>
      </c>
      <c r="AE44" s="277">
        <f>IF(IF(ISNA(INDEX(СГИ!$P$3:$AI$22,VLOOKUP($P44,СГИ!$N$3:$O$22,2),HLOOKUP(AE$33,СГИ!$P$1:$AI$2,2))),"",INDEX(СГИ!$P$3:$AI$22,VLOOKUP($P44,СГИ!$N$3:$O$22,2),HLOOKUP(AE$33,СГИ!$P$1:$AI$2,2)))=1,CONCATENATE("при измерении ",$P44," ",AE$33," не допускается ! "),"")</f>
      </c>
      <c r="AF44" s="277">
        <f>IF(IF(ISNA(INDEX(СГИ!$P$3:$AI$22,VLOOKUP($P44,СГИ!$N$3:$O$22,2),HLOOKUP(AF$33,СГИ!$P$1:$AI$2,2))),"",INDEX(СГИ!$P$3:$AI$22,VLOOKUP($P44,СГИ!$N$3:$O$22,2),HLOOKUP(AF$33,СГИ!$P$1:$AI$2,2)))=1,CONCATENATE("при измерении ",$P44," ",AF$33," не допускается ! "),"")</f>
      </c>
      <c r="AG44" s="277">
        <f>IF(IF(ISNA(INDEX(СГИ!$P$3:$AI$22,VLOOKUP($P44,СГИ!$N$3:$O$22,2),HLOOKUP(AG$33,СГИ!$P$1:$AI$2,2))),"",INDEX(СГИ!$P$3:$AI$22,VLOOKUP($P44,СГИ!$N$3:$O$22,2),HLOOKUP(AG$33,СГИ!$P$1:$AI$2,2)))=1,CONCATENATE("при измерении ",$P44," ",AG$33," не допускается ! "),"")</f>
      </c>
      <c r="AH44" s="372">
        <f>IF(IF(ISNA(INDEX(СГИ!$P$3:$AI$22,VLOOKUP($P44,СГИ!$N$3:$O$22,2),HLOOKUP(AH$33,СГИ!$P$1:$AI$2,2))),"",INDEX(СГИ!$P$3:$AI$22,VLOOKUP($P44,СГИ!$N$3:$O$22,2),HLOOKUP(AH$33,СГИ!$P$1:$AI$2,2)))=1,CONCATENATE("при измерении ",$P44," ",AH$33," не допускается ! "),"")</f>
      </c>
      <c r="AI44">
        <f t="shared" si="8"/>
      </c>
    </row>
    <row r="45" spans="1:35" ht="14.25">
      <c r="A45" s="413"/>
      <c r="B45" s="428"/>
      <c r="C45" s="428"/>
      <c r="D45" s="386" t="s">
        <v>396</v>
      </c>
      <c r="E45" s="368"/>
      <c r="F45" s="417" t="str">
        <f t="shared" si="6"/>
        <v>&lt;- введите данные, где необходимо</v>
      </c>
      <c r="H45" s="853" t="s">
        <v>400</v>
      </c>
      <c r="I45" s="871" t="str">
        <f>IF(I40="проверьте ввод данных","--",ROUND(SUM(I40:I40)*0.975,-1)*(1+ПГ!B2))</f>
        <v>--</v>
      </c>
      <c r="J45" s="885">
        <f t="shared" si="9"/>
      </c>
      <c r="K45" s="337">
        <f t="shared" si="7"/>
        <v>0</v>
      </c>
      <c r="N45" s="371">
        <f>IF(E45&gt;0,ПГ!E18,"")</f>
      </c>
      <c r="P45" s="276">
        <f t="shared" si="5"/>
      </c>
      <c r="Q45" s="277">
        <f>IF(IF(ISNA(INDEX(СГИ!$P$3:$AI$22,VLOOKUP($P45,СГИ!$N$3:$O$22,2),HLOOKUP(Q$33,СГИ!$P$1:$AI$2,2))),"",INDEX(СГИ!$P$3:$AI$22,VLOOKUP($P45,СГИ!$N$3:$O$22,2),HLOOKUP(Q$33,СГИ!$P$1:$AI$2,2)))=1,CONCATENATE("при измерении ",$P45," ",Q$33," не допускается ! "),"")</f>
      </c>
      <c r="R45" s="277">
        <f>IF(IF(ISNA(INDEX(СГИ!$P$3:$AI$22,VLOOKUP($P45,СГИ!$N$3:$O$22,2),HLOOKUP(R$33,СГИ!$P$1:$AI$2,2))),"",INDEX(СГИ!$P$3:$AI$22,VLOOKUP($P45,СГИ!$N$3:$O$22,2),HLOOKUP(R$33,СГИ!$P$1:$AI$2,2)))=1,CONCATENATE("при измерении ",$P45," ",R$33," не допускается ! "),"")</f>
      </c>
      <c r="S45" s="277">
        <f>IF(IF(ISNA(INDEX(СГИ!$P$3:$AI$22,VLOOKUP($P45,СГИ!$N$3:$O$22,2),HLOOKUP(S$33,СГИ!$P$1:$AI$2,2))),"",INDEX(СГИ!$P$3:$AI$22,VLOOKUP($P45,СГИ!$N$3:$O$22,2),HLOOKUP(S$33,СГИ!$P$1:$AI$2,2)))=1,CONCATENATE("при измерении ",$P45," ",S$33," не допускается ! "),"")</f>
      </c>
      <c r="T45" s="277">
        <f>IF(IF(ISNA(INDEX(СГИ!$P$3:$AI$22,VLOOKUP($P45,СГИ!$N$3:$O$22,2),HLOOKUP(T$33,СГИ!$P$1:$AI$2,2))),"",INDEX(СГИ!$P$3:$AI$22,VLOOKUP($P45,СГИ!$N$3:$O$22,2),HLOOKUP(T$33,СГИ!$P$1:$AI$2,2)))=1,CONCATENATE("при измерении ",$P45," ",T$33," не допускается ! "),"")</f>
      </c>
      <c r="U45" s="277">
        <f>IF(IF(ISNA(INDEX(СГИ!$P$3:$AI$22,VLOOKUP($P45,СГИ!$N$3:$O$22,2),HLOOKUP(U$33,СГИ!$P$1:$AI$2,2))),"",INDEX(СГИ!$P$3:$AI$22,VLOOKUP($P45,СГИ!$N$3:$O$22,2),HLOOKUP(U$33,СГИ!$P$1:$AI$2,2)))=1,CONCATENATE("при измерении ",$P45," ",U$33," не допускается ! "),"")</f>
      </c>
      <c r="V45" s="277">
        <f>IF(IF(ISNA(INDEX(СГИ!$P$3:$AI$22,VLOOKUP($P45,СГИ!$N$3:$O$22,2),HLOOKUP(V$33,СГИ!$P$1:$AI$2,2))),"",INDEX(СГИ!$P$3:$AI$22,VLOOKUP($P45,СГИ!$N$3:$O$22,2),HLOOKUP(V$33,СГИ!$P$1:$AI$2,2)))=1,CONCATENATE("при измерении ",$P45," ",V$33," не допускается ! "),"")</f>
      </c>
      <c r="W45" s="277">
        <f>IF(IF(ISNA(INDEX(СГИ!$P$3:$AI$22,VLOOKUP($P45,СГИ!$N$3:$O$22,2),HLOOKUP(W$33,СГИ!$P$1:$AI$2,2))),"",INDEX(СГИ!$P$3:$AI$22,VLOOKUP($P45,СГИ!$N$3:$O$22,2),HLOOKUP(W$33,СГИ!$P$1:$AI$2,2)))=1,CONCATENATE("при измерении ",$P45," ",W$33," не допускается ! "),"")</f>
      </c>
      <c r="X45" s="277">
        <f>IF(IF(ISNA(INDEX(СГИ!$P$3:$AI$22,VLOOKUP($P45,СГИ!$N$3:$O$22,2),HLOOKUP(X$33,СГИ!$P$1:$AI$2,2))),"",INDEX(СГИ!$P$3:$AI$22,VLOOKUP($P45,СГИ!$N$3:$O$22,2),HLOOKUP(X$33,СГИ!$P$1:$AI$2,2)))=1,CONCATENATE("при измерении ",$P45," ",X$33," не допускается ! "),"")</f>
      </c>
      <c r="Y45" s="277">
        <f>IF(IF(ISNA(INDEX(СГИ!$P$3:$AI$22,VLOOKUP($P45,СГИ!$N$3:$O$22,2),HLOOKUP(Y$33,СГИ!$P$1:$AI$2,2))),"",INDEX(СГИ!$P$3:$AI$22,VLOOKUP($P45,СГИ!$N$3:$O$22,2),HLOOKUP(Y$33,СГИ!$P$1:$AI$2,2)))=1,CONCATENATE("при измерении ",$P45," ",Y$33," не допускается ! "),"")</f>
      </c>
      <c r="Z45" s="277">
        <f>IF(IF(ISNA(INDEX(СГИ!$P$3:$AI$22,VLOOKUP($P45,СГИ!$N$3:$O$22,2),HLOOKUP(Z$33,СГИ!$P$1:$AI$2,2))),"",INDEX(СГИ!$P$3:$AI$22,VLOOKUP($P45,СГИ!$N$3:$O$22,2),HLOOKUP(Z$33,СГИ!$P$1:$AI$2,2)))=1,CONCATENATE("при измерении ",$P45," ",Z$33," не допускается ! "),"")</f>
      </c>
      <c r="AA45" s="277">
        <f>IF(IF(ISNA(INDEX(СГИ!$P$3:$AI$22,VLOOKUP($P45,СГИ!$N$3:$O$22,2),HLOOKUP(AA$33,СГИ!$P$1:$AI$2,2))),"",INDEX(СГИ!$P$3:$AI$22,VLOOKUP($P45,СГИ!$N$3:$O$22,2),HLOOKUP(AA$33,СГИ!$P$1:$AI$2,2)))=1,CONCATENATE("при измерении ",$P45," ",AA$33," не допускается ! "),"")</f>
      </c>
      <c r="AB45" s="277">
        <f>IF(IF(ISNA(INDEX(СГИ!$P$3:$AI$22,VLOOKUP($P45,СГИ!$N$3:$O$22,2),HLOOKUP(AB$33,СГИ!$P$1:$AI$2,2))),"",INDEX(СГИ!$P$3:$AI$22,VLOOKUP($P45,СГИ!$N$3:$O$22,2),HLOOKUP(AB$33,СГИ!$P$1:$AI$2,2)))=1,CONCATENATE("при измерении ",$P45," ",AB$33," не допускается ! "),"")</f>
      </c>
      <c r="AC45" s="277">
        <f>IF(IF(ISNA(INDEX(СГИ!$P$3:$AI$22,VLOOKUP($P45,СГИ!$N$3:$O$22,2),HLOOKUP(AC$33,СГИ!$P$1:$AI$2,2))),"",INDEX(СГИ!$P$3:$AI$22,VLOOKUP($P45,СГИ!$N$3:$O$22,2),HLOOKUP(AC$33,СГИ!$P$1:$AI$2,2)))=1,CONCATENATE("при измерении ",$P45," ",AC$33," не допускается ! "),"")</f>
      </c>
      <c r="AD45" s="277">
        <f>IF(IF(ISNA(INDEX(СГИ!$P$3:$AI$22,VLOOKUP($P45,СГИ!$N$3:$O$22,2),HLOOKUP(AD$33,СГИ!$P$1:$AI$2,2))),"",INDEX(СГИ!$P$3:$AI$22,VLOOKUP($P45,СГИ!$N$3:$O$22,2),HLOOKUP(AD$33,СГИ!$P$1:$AI$2,2)))=1,CONCATENATE("при измерении ",$P45," ",AD$33," не допускается ! "),"")</f>
      </c>
      <c r="AE45" s="277">
        <f>IF(IF(ISNA(INDEX(СГИ!$P$3:$AI$22,VLOOKUP($P45,СГИ!$N$3:$O$22,2),HLOOKUP(AE$33,СГИ!$P$1:$AI$2,2))),"",INDEX(СГИ!$P$3:$AI$22,VLOOKUP($P45,СГИ!$N$3:$O$22,2),HLOOKUP(AE$33,СГИ!$P$1:$AI$2,2)))=1,CONCATENATE("при измерении ",$P45," ",AE$33," не допускается ! "),"")</f>
      </c>
      <c r="AF45" s="277">
        <f>IF(IF(ISNA(INDEX(СГИ!$P$3:$AI$22,VLOOKUP($P45,СГИ!$N$3:$O$22,2),HLOOKUP(AF$33,СГИ!$P$1:$AI$2,2))),"",INDEX(СГИ!$P$3:$AI$22,VLOOKUP($P45,СГИ!$N$3:$O$22,2),HLOOKUP(AF$33,СГИ!$P$1:$AI$2,2)))=1,CONCATENATE("при измерении ",$P45," ",AF$33," не допускается ! "),"")</f>
      </c>
      <c r="AG45" s="277">
        <f>IF(IF(ISNA(INDEX(СГИ!$P$3:$AI$22,VLOOKUP($P45,СГИ!$N$3:$O$22,2),HLOOKUP(AG$33,СГИ!$P$1:$AI$2,2))),"",INDEX(СГИ!$P$3:$AI$22,VLOOKUP($P45,СГИ!$N$3:$O$22,2),HLOOKUP(AG$33,СГИ!$P$1:$AI$2,2)))=1,CONCATENATE("при измерении ",$P45," ",AG$33," не допускается ! "),"")</f>
      </c>
      <c r="AH45" s="372">
        <f>IF(IF(ISNA(INDEX(СГИ!$P$3:$AI$22,VLOOKUP($P45,СГИ!$N$3:$O$22,2),HLOOKUP(AH$33,СГИ!$P$1:$AI$2,2))),"",INDEX(СГИ!$P$3:$AI$22,VLOOKUP($P45,СГИ!$N$3:$O$22,2),HLOOKUP(AH$33,СГИ!$P$1:$AI$2,2)))=1,CONCATENATE("при измерении ",$P45," ",AH$33," не допускается ! "),"")</f>
      </c>
      <c r="AI45">
        <f t="shared" si="8"/>
      </c>
    </row>
    <row r="46" spans="1:35" ht="14.25">
      <c r="A46" s="413" t="s">
        <v>611</v>
      </c>
      <c r="B46" s="429"/>
      <c r="C46" s="429"/>
      <c r="D46" s="430" t="s">
        <v>398</v>
      </c>
      <c r="E46" s="431"/>
      <c r="F46" s="1">
        <f>IF(E46="","",A46)</f>
      </c>
      <c r="H46" s="853" t="s">
        <v>401</v>
      </c>
      <c r="I46" s="871" t="str">
        <f>IF(I40="проверьте ввод данных","--",ROUND(SUM(I40:I40)*0.95,-1)*(1+ПГ!B2))</f>
        <v>--</v>
      </c>
      <c r="J46" s="886">
        <f t="shared" si="9"/>
      </c>
      <c r="K46" s="392">
        <f t="shared" si="7"/>
        <v>0</v>
      </c>
      <c r="N46" s="371">
        <f>IF(E46&gt;0,ПГ!E19,"")</f>
      </c>
      <c r="P46" s="276">
        <f t="shared" si="5"/>
      </c>
      <c r="Q46" s="277">
        <f>IF(IF(ISNA(INDEX(СГИ!$P$3:$AI$22,VLOOKUP($P46,СГИ!$N$3:$O$22,2),HLOOKUP(Q$33,СГИ!$P$1:$AI$2,2))),"",INDEX(СГИ!$P$3:$AI$22,VLOOKUP($P46,СГИ!$N$3:$O$22,2),HLOOKUP(Q$33,СГИ!$P$1:$AI$2,2)))=1,CONCATENATE("при измерении ",$P46," ",Q$33," не допускается ! "),"")</f>
      </c>
      <c r="R46" s="277">
        <f>IF(IF(ISNA(INDEX(СГИ!$P$3:$AI$22,VLOOKUP($P46,СГИ!$N$3:$O$22,2),HLOOKUP(R$33,СГИ!$P$1:$AI$2,2))),"",INDEX(СГИ!$P$3:$AI$22,VLOOKUP($P46,СГИ!$N$3:$O$22,2),HLOOKUP(R$33,СГИ!$P$1:$AI$2,2)))=1,CONCATENATE("при измерении ",$P46," ",R$33," не допускается ! "),"")</f>
      </c>
      <c r="S46" s="277">
        <f>IF(IF(ISNA(INDEX(СГИ!$P$3:$AI$22,VLOOKUP($P46,СГИ!$N$3:$O$22,2),HLOOKUP(S$33,СГИ!$P$1:$AI$2,2))),"",INDEX(СГИ!$P$3:$AI$22,VLOOKUP($P46,СГИ!$N$3:$O$22,2),HLOOKUP(S$33,СГИ!$P$1:$AI$2,2)))=1,CONCATENATE("при измерении ",$P46," ",S$33," не допускается ! "),"")</f>
      </c>
      <c r="T46" s="277">
        <f>IF(IF(ISNA(INDEX(СГИ!$P$3:$AI$22,VLOOKUP($P46,СГИ!$N$3:$O$22,2),HLOOKUP(T$33,СГИ!$P$1:$AI$2,2))),"",INDEX(СГИ!$P$3:$AI$22,VLOOKUP($P46,СГИ!$N$3:$O$22,2),HLOOKUP(T$33,СГИ!$P$1:$AI$2,2)))=1,CONCATENATE("при измерении ",$P46," ",T$33," не допускается ! "),"")</f>
      </c>
      <c r="U46" s="277">
        <f>IF(IF(ISNA(INDEX(СГИ!$P$3:$AI$22,VLOOKUP($P46,СГИ!$N$3:$O$22,2),HLOOKUP(U$33,СГИ!$P$1:$AI$2,2))),"",INDEX(СГИ!$P$3:$AI$22,VLOOKUP($P46,СГИ!$N$3:$O$22,2),HLOOKUP(U$33,СГИ!$P$1:$AI$2,2)))=1,CONCATENATE("при измерении ",$P46," ",U$33," не допускается ! "),"")</f>
      </c>
      <c r="V46" s="277">
        <f>IF(IF(ISNA(INDEX(СГИ!$P$3:$AI$22,VLOOKUP($P46,СГИ!$N$3:$O$22,2),HLOOKUP(V$33,СГИ!$P$1:$AI$2,2))),"",INDEX(СГИ!$P$3:$AI$22,VLOOKUP($P46,СГИ!$N$3:$O$22,2),HLOOKUP(V$33,СГИ!$P$1:$AI$2,2)))=1,CONCATENATE("при измерении ",$P46," ",V$33," не допускается ! "),"")</f>
      </c>
      <c r="W46" s="277">
        <f>IF(IF(ISNA(INDEX(СГИ!$P$3:$AI$22,VLOOKUP($P46,СГИ!$N$3:$O$22,2),HLOOKUP(W$33,СГИ!$P$1:$AI$2,2))),"",INDEX(СГИ!$P$3:$AI$22,VLOOKUP($P46,СГИ!$N$3:$O$22,2),HLOOKUP(W$33,СГИ!$P$1:$AI$2,2)))=1,CONCATENATE("при измерении ",$P46," ",W$33," не допускается ! "),"")</f>
      </c>
      <c r="X46" s="277">
        <f>IF(IF(ISNA(INDEX(СГИ!$P$3:$AI$22,VLOOKUP($P46,СГИ!$N$3:$O$22,2),HLOOKUP(X$33,СГИ!$P$1:$AI$2,2))),"",INDEX(СГИ!$P$3:$AI$22,VLOOKUP($P46,СГИ!$N$3:$O$22,2),HLOOKUP(X$33,СГИ!$P$1:$AI$2,2)))=1,CONCATENATE("при измерении ",$P46," ",X$33," не допускается ! "),"")</f>
      </c>
      <c r="Y46" s="277">
        <f>IF(IF(ISNA(INDEX(СГИ!$P$3:$AI$22,VLOOKUP($P46,СГИ!$N$3:$O$22,2),HLOOKUP(Y$33,СГИ!$P$1:$AI$2,2))),"",INDEX(СГИ!$P$3:$AI$22,VLOOKUP($P46,СГИ!$N$3:$O$22,2),HLOOKUP(Y$33,СГИ!$P$1:$AI$2,2)))=1,CONCATENATE("при измерении ",$P46," ",Y$33," не допускается ! "),"")</f>
      </c>
      <c r="Z46" s="277">
        <f>IF(IF(ISNA(INDEX(СГИ!$P$3:$AI$22,VLOOKUP($P46,СГИ!$N$3:$O$22,2),HLOOKUP(Z$33,СГИ!$P$1:$AI$2,2))),"",INDEX(СГИ!$P$3:$AI$22,VLOOKUP($P46,СГИ!$N$3:$O$22,2),HLOOKUP(Z$33,СГИ!$P$1:$AI$2,2)))=1,CONCATENATE("при измерении ",$P46," ",Z$33," не допускается ! "),"")</f>
      </c>
      <c r="AA46" s="277">
        <f>IF(IF(ISNA(INDEX(СГИ!$P$3:$AI$22,VLOOKUP($P46,СГИ!$N$3:$O$22,2),HLOOKUP(AA$33,СГИ!$P$1:$AI$2,2))),"",INDEX(СГИ!$P$3:$AI$22,VLOOKUP($P46,СГИ!$N$3:$O$22,2),HLOOKUP(AA$33,СГИ!$P$1:$AI$2,2)))=1,CONCATENATE("при измерении ",$P46," ",AA$33," не допускается ! "),"")</f>
      </c>
      <c r="AB46" s="277">
        <f>IF(IF(ISNA(INDEX(СГИ!$P$3:$AI$22,VLOOKUP($P46,СГИ!$N$3:$O$22,2),HLOOKUP(AB$33,СГИ!$P$1:$AI$2,2))),"",INDEX(СГИ!$P$3:$AI$22,VLOOKUP($P46,СГИ!$N$3:$O$22,2),HLOOKUP(AB$33,СГИ!$P$1:$AI$2,2)))=1,CONCATENATE("при измерении ",$P46," ",AB$33," не допускается ! "),"")</f>
      </c>
      <c r="AC46" s="277">
        <f>IF(IF(ISNA(INDEX(СГИ!$P$3:$AI$22,VLOOKUP($P46,СГИ!$N$3:$O$22,2),HLOOKUP(AC$33,СГИ!$P$1:$AI$2,2))),"",INDEX(СГИ!$P$3:$AI$22,VLOOKUP($P46,СГИ!$N$3:$O$22,2),HLOOKUP(AC$33,СГИ!$P$1:$AI$2,2)))=1,CONCATENATE("при измерении ",$P46," ",AC$33," не допускается ! "),"")</f>
      </c>
      <c r="AD46" s="277">
        <f>IF(IF(ISNA(INDEX(СГИ!$P$3:$AI$22,VLOOKUP($P46,СГИ!$N$3:$O$22,2),HLOOKUP(AD$33,СГИ!$P$1:$AI$2,2))),"",INDEX(СГИ!$P$3:$AI$22,VLOOKUP($P46,СГИ!$N$3:$O$22,2),HLOOKUP(AD$33,СГИ!$P$1:$AI$2,2)))=1,CONCATENATE("при измерении ",$P46," ",AD$33," не допускается ! "),"")</f>
      </c>
      <c r="AE46" s="277">
        <f>IF(IF(ISNA(INDEX(СГИ!$P$3:$AI$22,VLOOKUP($P46,СГИ!$N$3:$O$22,2),HLOOKUP(AE$33,СГИ!$P$1:$AI$2,2))),"",INDEX(СГИ!$P$3:$AI$22,VLOOKUP($P46,СГИ!$N$3:$O$22,2),HLOOKUP(AE$33,СГИ!$P$1:$AI$2,2)))=1,CONCATENATE("при измерении ",$P46," ",AE$33," не допускается ! "),"")</f>
      </c>
      <c r="AF46" s="277">
        <f>IF(IF(ISNA(INDEX(СГИ!$P$3:$AI$22,VLOOKUP($P46,СГИ!$N$3:$O$22,2),HLOOKUP(AF$33,СГИ!$P$1:$AI$2,2))),"",INDEX(СГИ!$P$3:$AI$22,VLOOKUP($P46,СГИ!$N$3:$O$22,2),HLOOKUP(AF$33,СГИ!$P$1:$AI$2,2)))=1,CONCATENATE("при измерении ",$P46," ",AF$33," не допускается ! "),"")</f>
      </c>
      <c r="AG46" s="277">
        <f>IF(IF(ISNA(INDEX(СГИ!$P$3:$AI$22,VLOOKUP($P46,СГИ!$N$3:$O$22,2),HLOOKUP(AG$33,СГИ!$P$1:$AI$2,2))),"",INDEX(СГИ!$P$3:$AI$22,VLOOKUP($P46,СГИ!$N$3:$O$22,2),HLOOKUP(AG$33,СГИ!$P$1:$AI$2,2)))=1,CONCATENATE("при измерении ",$P46," ",AG$33," не допускается ! "),"")</f>
      </c>
      <c r="AH46" s="372">
        <f>IF(IF(ISNA(INDEX(СГИ!$P$3:$AI$22,VLOOKUP($P46,СГИ!$N$3:$O$22,2),HLOOKUP(AH$33,СГИ!$P$1:$AI$2,2))),"",INDEX(СГИ!$P$3:$AI$22,VLOOKUP($P46,СГИ!$N$3:$O$22,2),HLOOKUP(AH$33,СГИ!$P$1:$AI$2,2)))=1,CONCATENATE("при измерении ",$P46," ",AH$33," не допускается ! "),"")</f>
      </c>
      <c r="AI46">
        <f t="shared" si="8"/>
      </c>
    </row>
    <row r="47" spans="1:35" ht="12.75">
      <c r="A47" s="413" t="s">
        <v>611</v>
      </c>
      <c r="B47" s="432"/>
      <c r="C47" s="432"/>
      <c r="D47" s="433" t="s">
        <v>48</v>
      </c>
      <c r="E47" s="431"/>
      <c r="F47" s="1">
        <f>IF(E47="","",A47)</f>
      </c>
      <c r="H47" s="867"/>
      <c r="I47" s="868"/>
      <c r="J47" s="886">
        <f t="shared" si="9"/>
      </c>
      <c r="K47" s="392">
        <f t="shared" si="7"/>
        <v>0</v>
      </c>
      <c r="N47" s="371">
        <f>IF(E47&gt;0,ПГ!E20,"")</f>
      </c>
      <c r="P47" s="276">
        <f t="shared" si="5"/>
      </c>
      <c r="Q47" s="277">
        <f>IF(IF(ISNA(INDEX(СГИ!$P$3:$AI$22,VLOOKUP($P47,СГИ!$N$3:$O$22,2),HLOOKUP(Q$33,СГИ!$P$1:$AI$2,2))),"",INDEX(СГИ!$P$3:$AI$22,VLOOKUP($P47,СГИ!$N$3:$O$22,2),HLOOKUP(Q$33,СГИ!$P$1:$AI$2,2)))=1,CONCATENATE("при измерении ",$P47," ",Q$33," не допускается ! "),"")</f>
      </c>
      <c r="R47" s="277">
        <f>IF(IF(ISNA(INDEX(СГИ!$P$3:$AI$22,VLOOKUP($P47,СГИ!$N$3:$O$22,2),HLOOKUP(R$33,СГИ!$P$1:$AI$2,2))),"",INDEX(СГИ!$P$3:$AI$22,VLOOKUP($P47,СГИ!$N$3:$O$22,2),HLOOKUP(R$33,СГИ!$P$1:$AI$2,2)))=1,CONCATENATE("при измерении ",$P47," ",R$33," не допускается ! "),"")</f>
      </c>
      <c r="S47" s="277">
        <f>IF(IF(ISNA(INDEX(СГИ!$P$3:$AI$22,VLOOKUP($P47,СГИ!$N$3:$O$22,2),HLOOKUP(S$33,СГИ!$P$1:$AI$2,2))),"",INDEX(СГИ!$P$3:$AI$22,VLOOKUP($P47,СГИ!$N$3:$O$22,2),HLOOKUP(S$33,СГИ!$P$1:$AI$2,2)))=1,CONCATENATE("при измерении ",$P47," ",S$33," не допускается ! "),"")</f>
      </c>
      <c r="T47" s="277">
        <f>IF(IF(ISNA(INDEX(СГИ!$P$3:$AI$22,VLOOKUP($P47,СГИ!$N$3:$O$22,2),HLOOKUP(T$33,СГИ!$P$1:$AI$2,2))),"",INDEX(СГИ!$P$3:$AI$22,VLOOKUP($P47,СГИ!$N$3:$O$22,2),HLOOKUP(T$33,СГИ!$P$1:$AI$2,2)))=1,CONCATENATE("при измерении ",$P47," ",T$33," не допускается ! "),"")</f>
      </c>
      <c r="U47" s="277">
        <f>IF(IF(ISNA(INDEX(СГИ!$P$3:$AI$22,VLOOKUP($P47,СГИ!$N$3:$O$22,2),HLOOKUP(U$33,СГИ!$P$1:$AI$2,2))),"",INDEX(СГИ!$P$3:$AI$22,VLOOKUP($P47,СГИ!$N$3:$O$22,2),HLOOKUP(U$33,СГИ!$P$1:$AI$2,2)))=1,CONCATENATE("при измерении ",$P47," ",U$33," не допускается ! "),"")</f>
      </c>
      <c r="V47" s="277">
        <f>IF(IF(ISNA(INDEX(СГИ!$P$3:$AI$22,VLOOKUP($P47,СГИ!$N$3:$O$22,2),HLOOKUP(V$33,СГИ!$P$1:$AI$2,2))),"",INDEX(СГИ!$P$3:$AI$22,VLOOKUP($P47,СГИ!$N$3:$O$22,2),HLOOKUP(V$33,СГИ!$P$1:$AI$2,2)))=1,CONCATENATE("при измерении ",$P47," ",V$33," не допускается ! "),"")</f>
      </c>
      <c r="W47" s="277">
        <f>IF(IF(ISNA(INDEX(СГИ!$P$3:$AI$22,VLOOKUP($P47,СГИ!$N$3:$O$22,2),HLOOKUP(W$33,СГИ!$P$1:$AI$2,2))),"",INDEX(СГИ!$P$3:$AI$22,VLOOKUP($P47,СГИ!$N$3:$O$22,2),HLOOKUP(W$33,СГИ!$P$1:$AI$2,2)))=1,CONCATENATE("при измерении ",$P47," ",W$33," не допускается ! "),"")</f>
      </c>
      <c r="X47" s="277">
        <f>IF(IF(ISNA(INDEX(СГИ!$P$3:$AI$22,VLOOKUP($P47,СГИ!$N$3:$O$22,2),HLOOKUP(X$33,СГИ!$P$1:$AI$2,2))),"",INDEX(СГИ!$P$3:$AI$22,VLOOKUP($P47,СГИ!$N$3:$O$22,2),HLOOKUP(X$33,СГИ!$P$1:$AI$2,2)))=1,CONCATENATE("при измерении ",$P47," ",X$33," не допускается ! "),"")</f>
      </c>
      <c r="Y47" s="277">
        <f>IF(IF(ISNA(INDEX(СГИ!$P$3:$AI$22,VLOOKUP($P47,СГИ!$N$3:$O$22,2),HLOOKUP(Y$33,СГИ!$P$1:$AI$2,2))),"",INDEX(СГИ!$P$3:$AI$22,VLOOKUP($P47,СГИ!$N$3:$O$22,2),HLOOKUP(Y$33,СГИ!$P$1:$AI$2,2)))=1,CONCATENATE("при измерении ",$P47," ",Y$33," не допускается ! "),"")</f>
      </c>
      <c r="Z47" s="277">
        <f>IF(IF(ISNA(INDEX(СГИ!$P$3:$AI$22,VLOOKUP($P47,СГИ!$N$3:$O$22,2),HLOOKUP(Z$33,СГИ!$P$1:$AI$2,2))),"",INDEX(СГИ!$P$3:$AI$22,VLOOKUP($P47,СГИ!$N$3:$O$22,2),HLOOKUP(Z$33,СГИ!$P$1:$AI$2,2)))=1,CONCATENATE("при измерении ",$P47," ",Z$33," не допускается ! "),"")</f>
      </c>
      <c r="AA47" s="277">
        <f>IF(IF(ISNA(INDEX(СГИ!$P$3:$AI$22,VLOOKUP($P47,СГИ!$N$3:$O$22,2),HLOOKUP(AA$33,СГИ!$P$1:$AI$2,2))),"",INDEX(СГИ!$P$3:$AI$22,VLOOKUP($P47,СГИ!$N$3:$O$22,2),HLOOKUP(AA$33,СГИ!$P$1:$AI$2,2)))=1,CONCATENATE("при измерении ",$P47," ",AA$33," не допускается ! "),"")</f>
      </c>
      <c r="AB47" s="277">
        <f>IF(IF(ISNA(INDEX(СГИ!$P$3:$AI$22,VLOOKUP($P47,СГИ!$N$3:$O$22,2),HLOOKUP(AB$33,СГИ!$P$1:$AI$2,2))),"",INDEX(СГИ!$P$3:$AI$22,VLOOKUP($P47,СГИ!$N$3:$O$22,2),HLOOKUP(AB$33,СГИ!$P$1:$AI$2,2)))=1,CONCATENATE("при измерении ",$P47," ",AB$33," не допускается ! "),"")</f>
      </c>
      <c r="AC47" s="277">
        <f>IF(IF(ISNA(INDEX(СГИ!$P$3:$AI$22,VLOOKUP($P47,СГИ!$N$3:$O$22,2),HLOOKUP(AC$33,СГИ!$P$1:$AI$2,2))),"",INDEX(СГИ!$P$3:$AI$22,VLOOKUP($P47,СГИ!$N$3:$O$22,2),HLOOKUP(AC$33,СГИ!$P$1:$AI$2,2)))=1,CONCATENATE("при измерении ",$P47," ",AC$33," не допускается ! "),"")</f>
      </c>
      <c r="AD47" s="277">
        <f>IF(IF(ISNA(INDEX(СГИ!$P$3:$AI$22,VLOOKUP($P47,СГИ!$N$3:$O$22,2),HLOOKUP(AD$33,СГИ!$P$1:$AI$2,2))),"",INDEX(СГИ!$P$3:$AI$22,VLOOKUP($P47,СГИ!$N$3:$O$22,2),HLOOKUP(AD$33,СГИ!$P$1:$AI$2,2)))=1,CONCATENATE("при измерении ",$P47," ",AD$33," не допускается ! "),"")</f>
      </c>
      <c r="AE47" s="277">
        <f>IF(IF(ISNA(INDEX(СГИ!$P$3:$AI$22,VLOOKUP($P47,СГИ!$N$3:$O$22,2),HLOOKUP(AE$33,СГИ!$P$1:$AI$2,2))),"",INDEX(СГИ!$P$3:$AI$22,VLOOKUP($P47,СГИ!$N$3:$O$22,2),HLOOKUP(AE$33,СГИ!$P$1:$AI$2,2)))=1,CONCATENATE("при измерении ",$P47," ",AE$33," не допускается ! "),"")</f>
      </c>
      <c r="AF47" s="277">
        <f>IF(IF(ISNA(INDEX(СГИ!$P$3:$AI$22,VLOOKUP($P47,СГИ!$N$3:$O$22,2),HLOOKUP(AF$33,СГИ!$P$1:$AI$2,2))),"",INDEX(СГИ!$P$3:$AI$22,VLOOKUP($P47,СГИ!$N$3:$O$22,2),HLOOKUP(AF$33,СГИ!$P$1:$AI$2,2)))=1,CONCATENATE("при измерении ",$P47," ",AF$33," не допускается ! "),"")</f>
      </c>
      <c r="AG47" s="277">
        <f>IF(IF(ISNA(INDEX(СГИ!$P$3:$AI$22,VLOOKUP($P47,СГИ!$N$3:$O$22,2),HLOOKUP(AG$33,СГИ!$P$1:$AI$2,2))),"",INDEX(СГИ!$P$3:$AI$22,VLOOKUP($P47,СГИ!$N$3:$O$22,2),HLOOKUP(AG$33,СГИ!$P$1:$AI$2,2)))=1,CONCATENATE("при измерении ",$P47," ",AG$33," не допускается ! "),"")</f>
      </c>
      <c r="AH47" s="372">
        <f>IF(IF(ISNA(INDEX(СГИ!$P$3:$AI$22,VLOOKUP($P47,СГИ!$N$3:$O$22,2),HLOOKUP(AH$33,СГИ!$P$1:$AI$2,2))),"",INDEX(СГИ!$P$3:$AI$22,VLOOKUP($P47,СГИ!$N$3:$O$22,2),HLOOKUP(AH$33,СГИ!$P$1:$AI$2,2)))=1,CONCATENATE("при измерении ",$P47," ",AH$33," не допускается ! "),"")</f>
      </c>
      <c r="AI47">
        <f t="shared" si="8"/>
      </c>
    </row>
    <row r="48" spans="2:35" ht="14.25">
      <c r="B48" s="434"/>
      <c r="C48" s="434"/>
      <c r="D48" s="301" t="s">
        <v>402</v>
      </c>
      <c r="E48" s="435"/>
      <c r="F48" s="390" t="str">
        <f>IF(SUM(E$34:E$45)+SUM(E$48:E$51)&gt;5,"&lt;- каналов не должно быть более 5",IF(E48&gt;1,"&lt;- уменьшите количество каналов",IF(SUM(E$34:E$45)+SUM(E$48:E$51)=5,"&lt;- дальнейший ввод невозможен",IF(E48=1,"","&lt;- введите данные, где необходимо"))))</f>
        <v>&lt;- введите данные, где необходимо</v>
      </c>
      <c r="G48" s="391"/>
      <c r="H48" s="891" t="s">
        <v>405</v>
      </c>
      <c r="I48" s="870" t="s">
        <v>406</v>
      </c>
      <c r="J48" s="885">
        <f t="shared" si="9"/>
      </c>
      <c r="K48" s="337">
        <f t="shared" si="7"/>
        <v>0</v>
      </c>
      <c r="N48" s="371">
        <f>IF(E48&gt;0,ПГ!E21,"")</f>
      </c>
      <c r="P48" s="276">
        <f t="shared" si="5"/>
      </c>
      <c r="Q48" s="277">
        <f>IF(IF(ISNA(INDEX(СГИ!$P$3:$AI$22,VLOOKUP($P48,СГИ!$N$3:$O$22,2),HLOOKUP(Q$33,СГИ!$P$1:$AI$2,2))),"",INDEX(СГИ!$P$3:$AI$22,VLOOKUP($P48,СГИ!$N$3:$O$22,2),HLOOKUP(Q$33,СГИ!$P$1:$AI$2,2)))=1,CONCATENATE("при измерении ",$P48," ",Q$33," не допускается ! "),"")</f>
      </c>
      <c r="R48" s="277">
        <f>IF(IF(ISNA(INDEX(СГИ!$P$3:$AI$22,VLOOKUP($P48,СГИ!$N$3:$O$22,2),HLOOKUP(R$33,СГИ!$P$1:$AI$2,2))),"",INDEX(СГИ!$P$3:$AI$22,VLOOKUP($P48,СГИ!$N$3:$O$22,2),HLOOKUP(R$33,СГИ!$P$1:$AI$2,2)))=1,CONCATENATE("при измерении ",$P48," ",R$33," не допускается ! "),"")</f>
      </c>
      <c r="S48" s="277">
        <f>IF(IF(ISNA(INDEX(СГИ!$P$3:$AI$22,VLOOKUP($P48,СГИ!$N$3:$O$22,2),HLOOKUP(S$33,СГИ!$P$1:$AI$2,2))),"",INDEX(СГИ!$P$3:$AI$22,VLOOKUP($P48,СГИ!$N$3:$O$22,2),HLOOKUP(S$33,СГИ!$P$1:$AI$2,2)))=1,CONCATENATE("при измерении ",$P48," ",S$33," не допускается ! "),"")</f>
      </c>
      <c r="T48" s="277">
        <f>IF(IF(ISNA(INDEX(СГИ!$P$3:$AI$22,VLOOKUP($P48,СГИ!$N$3:$O$22,2),HLOOKUP(T$33,СГИ!$P$1:$AI$2,2))),"",INDEX(СГИ!$P$3:$AI$22,VLOOKUP($P48,СГИ!$N$3:$O$22,2),HLOOKUP(T$33,СГИ!$P$1:$AI$2,2)))=1,CONCATENATE("при измерении ",$P48," ",T$33," не допускается ! "),"")</f>
      </c>
      <c r="U48" s="277">
        <f>IF(IF(ISNA(INDEX(СГИ!$P$3:$AI$22,VLOOKUP($P48,СГИ!$N$3:$O$22,2),HLOOKUP(U$33,СГИ!$P$1:$AI$2,2))),"",INDEX(СГИ!$P$3:$AI$22,VLOOKUP($P48,СГИ!$N$3:$O$22,2),HLOOKUP(U$33,СГИ!$P$1:$AI$2,2)))=1,CONCATENATE("при измерении ",$P48," ",U$33," не допускается ! "),"")</f>
      </c>
      <c r="V48" s="277">
        <f>IF(IF(ISNA(INDEX(СГИ!$P$3:$AI$22,VLOOKUP($P48,СГИ!$N$3:$O$22,2),HLOOKUP(V$33,СГИ!$P$1:$AI$2,2))),"",INDEX(СГИ!$P$3:$AI$22,VLOOKUP($P48,СГИ!$N$3:$O$22,2),HLOOKUP(V$33,СГИ!$P$1:$AI$2,2)))=1,CONCATENATE("при измерении ",$P48," ",V$33," не допускается ! "),"")</f>
      </c>
      <c r="W48" s="277">
        <f>IF(IF(ISNA(INDEX(СГИ!$P$3:$AI$22,VLOOKUP($P48,СГИ!$N$3:$O$22,2),HLOOKUP(W$33,СГИ!$P$1:$AI$2,2))),"",INDEX(СГИ!$P$3:$AI$22,VLOOKUP($P48,СГИ!$N$3:$O$22,2),HLOOKUP(W$33,СГИ!$P$1:$AI$2,2)))=1,CONCATENATE("при измерении ",$P48," ",W$33," не допускается ! "),"")</f>
      </c>
      <c r="X48" s="277">
        <f>IF(IF(ISNA(INDEX(СГИ!$P$3:$AI$22,VLOOKUP($P48,СГИ!$N$3:$O$22,2),HLOOKUP(X$33,СГИ!$P$1:$AI$2,2))),"",INDEX(СГИ!$P$3:$AI$22,VLOOKUP($P48,СГИ!$N$3:$O$22,2),HLOOKUP(X$33,СГИ!$P$1:$AI$2,2)))=1,CONCATENATE("при измерении ",$P48," ",X$33," не допускается ! "),"")</f>
      </c>
      <c r="Y48" s="277">
        <f>IF(IF(ISNA(INDEX(СГИ!$P$3:$AI$22,VLOOKUP($P48,СГИ!$N$3:$O$22,2),HLOOKUP(Y$33,СГИ!$P$1:$AI$2,2))),"",INDEX(СГИ!$P$3:$AI$22,VLOOKUP($P48,СГИ!$N$3:$O$22,2),HLOOKUP(Y$33,СГИ!$P$1:$AI$2,2)))=1,CONCATENATE("при измерении ",$P48," ",Y$33," не допускается ! "),"")</f>
      </c>
      <c r="Z48" s="277">
        <f>IF(IF(ISNA(INDEX(СГИ!$P$3:$AI$22,VLOOKUP($P48,СГИ!$N$3:$O$22,2),HLOOKUP(Z$33,СГИ!$P$1:$AI$2,2))),"",INDEX(СГИ!$P$3:$AI$22,VLOOKUP($P48,СГИ!$N$3:$O$22,2),HLOOKUP(Z$33,СГИ!$P$1:$AI$2,2)))=1,CONCATENATE("при измерении ",$P48," ",Z$33," не допускается ! "),"")</f>
      </c>
      <c r="AA48" s="277">
        <f>IF(IF(ISNA(INDEX(СГИ!$P$3:$AI$22,VLOOKUP($P48,СГИ!$N$3:$O$22,2),HLOOKUP(AA$33,СГИ!$P$1:$AI$2,2))),"",INDEX(СГИ!$P$3:$AI$22,VLOOKUP($P48,СГИ!$N$3:$O$22,2),HLOOKUP(AA$33,СГИ!$P$1:$AI$2,2)))=1,CONCATENATE("при измерении ",$P48," ",AA$33," не допускается ! "),"")</f>
      </c>
      <c r="AB48" s="277">
        <f>IF(IF(ISNA(INDEX(СГИ!$P$3:$AI$22,VLOOKUP($P48,СГИ!$N$3:$O$22,2),HLOOKUP(AB$33,СГИ!$P$1:$AI$2,2))),"",INDEX(СГИ!$P$3:$AI$22,VLOOKUP($P48,СГИ!$N$3:$O$22,2),HLOOKUP(AB$33,СГИ!$P$1:$AI$2,2)))=1,CONCATENATE("при измерении ",$P48," ",AB$33," не допускается ! "),"")</f>
      </c>
      <c r="AC48" s="277">
        <f>IF(IF(ISNA(INDEX(СГИ!$P$3:$AI$22,VLOOKUP($P48,СГИ!$N$3:$O$22,2),HLOOKUP(AC$33,СГИ!$P$1:$AI$2,2))),"",INDEX(СГИ!$P$3:$AI$22,VLOOKUP($P48,СГИ!$N$3:$O$22,2),HLOOKUP(AC$33,СГИ!$P$1:$AI$2,2)))=1,CONCATENATE("при измерении ",$P48," ",AC$33," не допускается ! "),"")</f>
      </c>
      <c r="AD48" s="277">
        <f>IF(IF(ISNA(INDEX(СГИ!$P$3:$AI$22,VLOOKUP($P48,СГИ!$N$3:$O$22,2),HLOOKUP(AD$33,СГИ!$P$1:$AI$2,2))),"",INDEX(СГИ!$P$3:$AI$22,VLOOKUP($P48,СГИ!$N$3:$O$22,2),HLOOKUP(AD$33,СГИ!$P$1:$AI$2,2)))=1,CONCATENATE("при измерении ",$P48," ",AD$33," не допускается ! "),"")</f>
      </c>
      <c r="AE48" s="277">
        <f>IF(IF(ISNA(INDEX(СГИ!$P$3:$AI$22,VLOOKUP($P48,СГИ!$N$3:$O$22,2),HLOOKUP(AE$33,СГИ!$P$1:$AI$2,2))),"",INDEX(СГИ!$P$3:$AI$22,VLOOKUP($P48,СГИ!$N$3:$O$22,2),HLOOKUP(AE$33,СГИ!$P$1:$AI$2,2)))=1,CONCATENATE("при измерении ",$P48," ",AE$33," не допускается ! "),"")</f>
      </c>
      <c r="AF48" s="277">
        <f>IF(IF(ISNA(INDEX(СГИ!$P$3:$AI$22,VLOOKUP($P48,СГИ!$N$3:$O$22,2),HLOOKUP(AF$33,СГИ!$P$1:$AI$2,2))),"",INDEX(СГИ!$P$3:$AI$22,VLOOKUP($P48,СГИ!$N$3:$O$22,2),HLOOKUP(AF$33,СГИ!$P$1:$AI$2,2)))=1,CONCATENATE("при измерении ",$P48," ",AF$33," не допускается ! "),"")</f>
      </c>
      <c r="AG48" s="277">
        <f>IF(IF(ISNA(INDEX(СГИ!$P$3:$AI$22,VLOOKUP($P48,СГИ!$N$3:$O$22,2),HLOOKUP(AG$33,СГИ!$P$1:$AI$2,2))),"",INDEX(СГИ!$P$3:$AI$22,VLOOKUP($P48,СГИ!$N$3:$O$22,2),HLOOKUP(AG$33,СГИ!$P$1:$AI$2,2)))=1,CONCATENATE("при измерении ",$P48," ",AG$33," не допускается ! "),"")</f>
      </c>
      <c r="AH48" s="372">
        <f>IF(IF(ISNA(INDEX(СГИ!$P$3:$AI$22,VLOOKUP($P48,СГИ!$N$3:$O$22,2),HLOOKUP(AH$33,СГИ!$P$1:$AI$2,2))),"",INDEX(СГИ!$P$3:$AI$22,VLOOKUP($P48,СГИ!$N$3:$O$22,2),HLOOKUP(AH$33,СГИ!$P$1:$AI$2,2)))=1,CONCATENATE("при измерении ",$P48," ",AH$33," не допускается ! "),"")</f>
      </c>
      <c r="AI48">
        <f t="shared" si="8"/>
      </c>
    </row>
    <row r="49" spans="2:35" ht="22.5">
      <c r="B49" s="434"/>
      <c r="C49" s="434"/>
      <c r="D49" s="301" t="s">
        <v>404</v>
      </c>
      <c r="E49" s="436"/>
      <c r="F49" s="395" t="str">
        <f>IF(SUM(E$34:E$45)+SUM(E$48:E$51)&gt;5,"&lt;- каналов не должно быть более 5",IF(E49&gt;1,"&lt;- уменьшите количество каналов",IF(SUM(E$34:E$45)+SUM(E$48:E$51)=5,"&lt;- дальнейший ввод невозможен",IF(E49=1,"","&lt;- введите данные, где необходимо"))))</f>
        <v>&lt;- введите данные, где необходимо</v>
      </c>
      <c r="G49" s="396"/>
      <c r="H49" s="853" t="s">
        <v>407</v>
      </c>
      <c r="I49" s="873">
        <v>0.05</v>
      </c>
      <c r="J49" s="885">
        <f t="shared" si="9"/>
      </c>
      <c r="K49" s="337">
        <f t="shared" si="7"/>
        <v>0</v>
      </c>
      <c r="N49" s="371">
        <f>IF(E49&gt;0,ПГ!E22,"")</f>
      </c>
      <c r="P49" s="276">
        <f t="shared" si="5"/>
      </c>
      <c r="Q49" s="277">
        <f>IF(IF(ISNA(INDEX(СГИ!$P$3:$AI$22,VLOOKUP($P49,СГИ!$N$3:$O$22,2),HLOOKUP(Q$33,СГИ!$P$1:$AI$2,2))),"",INDEX(СГИ!$P$3:$AI$22,VLOOKUP($P49,СГИ!$N$3:$O$22,2),HLOOKUP(Q$33,СГИ!$P$1:$AI$2,2)))=1,CONCATENATE("при измерении ",$P49," ",Q$33," не допускается ! "),"")</f>
      </c>
      <c r="R49" s="277">
        <f>IF(IF(ISNA(INDEX(СГИ!$P$3:$AI$22,VLOOKUP($P49,СГИ!$N$3:$O$22,2),HLOOKUP(R$33,СГИ!$P$1:$AI$2,2))),"",INDEX(СГИ!$P$3:$AI$22,VLOOKUP($P49,СГИ!$N$3:$O$22,2),HLOOKUP(R$33,СГИ!$P$1:$AI$2,2)))=1,CONCATENATE("при измерении ",$P49," ",R$33," не допускается ! "),"")</f>
      </c>
      <c r="S49" s="277">
        <f>IF(IF(ISNA(INDEX(СГИ!$P$3:$AI$22,VLOOKUP($P49,СГИ!$N$3:$O$22,2),HLOOKUP(S$33,СГИ!$P$1:$AI$2,2))),"",INDEX(СГИ!$P$3:$AI$22,VLOOKUP($P49,СГИ!$N$3:$O$22,2),HLOOKUP(S$33,СГИ!$P$1:$AI$2,2)))=1,CONCATENATE("при измерении ",$P49," ",S$33," не допускается ! "),"")</f>
      </c>
      <c r="T49" s="277">
        <f>IF(IF(ISNA(INDEX(СГИ!$P$3:$AI$22,VLOOKUP($P49,СГИ!$N$3:$O$22,2),HLOOKUP(T$33,СГИ!$P$1:$AI$2,2))),"",INDEX(СГИ!$P$3:$AI$22,VLOOKUP($P49,СГИ!$N$3:$O$22,2),HLOOKUP(T$33,СГИ!$P$1:$AI$2,2)))=1,CONCATENATE("при измерении ",$P49," ",T$33," не допускается ! "),"")</f>
      </c>
      <c r="U49" s="277">
        <f>IF(IF(ISNA(INDEX(СГИ!$P$3:$AI$22,VLOOKUP($P49,СГИ!$N$3:$O$22,2),HLOOKUP(U$33,СГИ!$P$1:$AI$2,2))),"",INDEX(СГИ!$P$3:$AI$22,VLOOKUP($P49,СГИ!$N$3:$O$22,2),HLOOKUP(U$33,СГИ!$P$1:$AI$2,2)))=1,CONCATENATE("при измерении ",$P49," ",U$33," не допускается ! "),"")</f>
      </c>
      <c r="V49" s="277">
        <f>IF(IF(ISNA(INDEX(СГИ!$P$3:$AI$22,VLOOKUP($P49,СГИ!$N$3:$O$22,2),HLOOKUP(V$33,СГИ!$P$1:$AI$2,2))),"",INDEX(СГИ!$P$3:$AI$22,VLOOKUP($P49,СГИ!$N$3:$O$22,2),HLOOKUP(V$33,СГИ!$P$1:$AI$2,2)))=1,CONCATENATE("при измерении ",$P49," ",V$33," не допускается ! "),"")</f>
      </c>
      <c r="W49" s="277">
        <f>IF(IF(ISNA(INDEX(СГИ!$P$3:$AI$22,VLOOKUP($P49,СГИ!$N$3:$O$22,2),HLOOKUP(W$33,СГИ!$P$1:$AI$2,2))),"",INDEX(СГИ!$P$3:$AI$22,VLOOKUP($P49,СГИ!$N$3:$O$22,2),HLOOKUP(W$33,СГИ!$P$1:$AI$2,2)))=1,CONCATENATE("при измерении ",$P49," ",W$33," не допускается ! "),"")</f>
      </c>
      <c r="X49" s="277">
        <f>IF(IF(ISNA(INDEX(СГИ!$P$3:$AI$22,VLOOKUP($P49,СГИ!$N$3:$O$22,2),HLOOKUP(X$33,СГИ!$P$1:$AI$2,2))),"",INDEX(СГИ!$P$3:$AI$22,VLOOKUP($P49,СГИ!$N$3:$O$22,2),HLOOKUP(X$33,СГИ!$P$1:$AI$2,2)))=1,CONCATENATE("при измерении ",$P49," ",X$33," не допускается ! "),"")</f>
      </c>
      <c r="Y49" s="277">
        <f>IF(IF(ISNA(INDEX(СГИ!$P$3:$AI$22,VLOOKUP($P49,СГИ!$N$3:$O$22,2),HLOOKUP(Y$33,СГИ!$P$1:$AI$2,2))),"",INDEX(СГИ!$P$3:$AI$22,VLOOKUP($P49,СГИ!$N$3:$O$22,2),HLOOKUP(Y$33,СГИ!$P$1:$AI$2,2)))=1,CONCATENATE("при измерении ",$P49," ",Y$33," не допускается ! "),"")</f>
      </c>
      <c r="Z49" s="277">
        <f>IF(IF(ISNA(INDEX(СГИ!$P$3:$AI$22,VLOOKUP($P49,СГИ!$N$3:$O$22,2),HLOOKUP(Z$33,СГИ!$P$1:$AI$2,2))),"",INDEX(СГИ!$P$3:$AI$22,VLOOKUP($P49,СГИ!$N$3:$O$22,2),HLOOKUP(Z$33,СГИ!$P$1:$AI$2,2)))=1,CONCATENATE("при измерении ",$P49," ",Z$33," не допускается ! "),"")</f>
      </c>
      <c r="AA49" s="277">
        <f>IF(IF(ISNA(INDEX(СГИ!$P$3:$AI$22,VLOOKUP($P49,СГИ!$N$3:$O$22,2),HLOOKUP(AA$33,СГИ!$P$1:$AI$2,2))),"",INDEX(СГИ!$P$3:$AI$22,VLOOKUP($P49,СГИ!$N$3:$O$22,2),HLOOKUP(AA$33,СГИ!$P$1:$AI$2,2)))=1,CONCATENATE("при измерении ",$P49," ",AA$33," не допускается ! "),"")</f>
      </c>
      <c r="AB49" s="277">
        <f>IF(IF(ISNA(INDEX(СГИ!$P$3:$AI$22,VLOOKUP($P49,СГИ!$N$3:$O$22,2),HLOOKUP(AB$33,СГИ!$P$1:$AI$2,2))),"",INDEX(СГИ!$P$3:$AI$22,VLOOKUP($P49,СГИ!$N$3:$O$22,2),HLOOKUP(AB$33,СГИ!$P$1:$AI$2,2)))=1,CONCATENATE("при измерении ",$P49," ",AB$33," не допускается ! "),"")</f>
      </c>
      <c r="AC49" s="277">
        <f>IF(IF(ISNA(INDEX(СГИ!$P$3:$AI$22,VLOOKUP($P49,СГИ!$N$3:$O$22,2),HLOOKUP(AC$33,СГИ!$P$1:$AI$2,2))),"",INDEX(СГИ!$P$3:$AI$22,VLOOKUP($P49,СГИ!$N$3:$O$22,2),HLOOKUP(AC$33,СГИ!$P$1:$AI$2,2)))=1,CONCATENATE("при измерении ",$P49," ",AC$33," не допускается ! "),"")</f>
      </c>
      <c r="AD49" s="277">
        <f>IF(IF(ISNA(INDEX(СГИ!$P$3:$AI$22,VLOOKUP($P49,СГИ!$N$3:$O$22,2),HLOOKUP(AD$33,СГИ!$P$1:$AI$2,2))),"",INDEX(СГИ!$P$3:$AI$22,VLOOKUP($P49,СГИ!$N$3:$O$22,2),HLOOKUP(AD$33,СГИ!$P$1:$AI$2,2)))=1,CONCATENATE("при измерении ",$P49," ",AD$33," не допускается ! "),"")</f>
      </c>
      <c r="AE49" s="277">
        <f>IF(IF(ISNA(INDEX(СГИ!$P$3:$AI$22,VLOOKUP($P49,СГИ!$N$3:$O$22,2),HLOOKUP(AE$33,СГИ!$P$1:$AI$2,2))),"",INDEX(СГИ!$P$3:$AI$22,VLOOKUP($P49,СГИ!$N$3:$O$22,2),HLOOKUP(AE$33,СГИ!$P$1:$AI$2,2)))=1,CONCATENATE("при измерении ",$P49," ",AE$33," не допускается ! "),"")</f>
      </c>
      <c r="AF49" s="277">
        <f>IF(IF(ISNA(INDEX(СГИ!$P$3:$AI$22,VLOOKUP($P49,СГИ!$N$3:$O$22,2),HLOOKUP(AF$33,СГИ!$P$1:$AI$2,2))),"",INDEX(СГИ!$P$3:$AI$22,VLOOKUP($P49,СГИ!$N$3:$O$22,2),HLOOKUP(AF$33,СГИ!$P$1:$AI$2,2)))=1,CONCATENATE("при измерении ",$P49," ",AF$33," не допускается ! "),"")</f>
      </c>
      <c r="AG49" s="277">
        <f>IF(IF(ISNA(INDEX(СГИ!$P$3:$AI$22,VLOOKUP($P49,СГИ!$N$3:$O$22,2),HLOOKUP(AG$33,СГИ!$P$1:$AI$2,2))),"",INDEX(СГИ!$P$3:$AI$22,VLOOKUP($P49,СГИ!$N$3:$O$22,2),HLOOKUP(AG$33,СГИ!$P$1:$AI$2,2)))=1,CONCATENATE("при измерении ",$P49," ",AG$33," не допускается ! "),"")</f>
      </c>
      <c r="AH49" s="372">
        <f>IF(IF(ISNA(INDEX(СГИ!$P$3:$AI$22,VLOOKUP($P49,СГИ!$N$3:$O$22,2),HLOOKUP(AH$33,СГИ!$P$1:$AI$2,2))),"",INDEX(СГИ!$P$3:$AI$22,VLOOKUP($P49,СГИ!$N$3:$O$22,2),HLOOKUP(AH$33,СГИ!$P$1:$AI$2,2)))=1,CONCATENATE("при измерении ",$P49," ",AH$33," не допускается ! "),"")</f>
      </c>
      <c r="AI49">
        <f t="shared" si="8"/>
      </c>
    </row>
    <row r="50" spans="2:35" ht="22.5">
      <c r="B50" s="434"/>
      <c r="C50" s="434"/>
      <c r="D50" s="332" t="s">
        <v>117</v>
      </c>
      <c r="E50" s="397"/>
      <c r="F50" s="417" t="str">
        <f>IF(SUM(E$34:E$45)+SUM(E$48:E$51)&gt;5,"&lt;- каналов не должно быть более 5",IF(E50&gt;1,"&lt;- уменьшите количество каналов",IF(SUM(E$34:E$45)+SUM(E$48:E$51)=5,"&lt;- дальнейший ввод невозможен",IF(E50=1,"","&lt;- введите данные, где необходимо"))))</f>
        <v>&lt;- введите данные, где необходимо</v>
      </c>
      <c r="H50" s="874" t="s">
        <v>409</v>
      </c>
      <c r="I50" s="875" t="str">
        <f>IF(I40="проверьте ввод данных","--",IF($I49&gt;0.2,"скидка указана неверно",ROUND(I40*(1-$I49),2)))</f>
        <v>--</v>
      </c>
      <c r="J50" s="885">
        <f t="shared" si="9"/>
      </c>
      <c r="K50" s="337">
        <f t="shared" si="7"/>
        <v>0</v>
      </c>
      <c r="N50" s="371">
        <f>IF(E50&gt;0,ПГ!E23,"")</f>
      </c>
      <c r="P50" s="276">
        <f t="shared" si="5"/>
      </c>
      <c r="Q50" s="277">
        <f>IF(IF(ISNA(INDEX(СГИ!$P$3:$AI$22,VLOOKUP($P50,СГИ!$N$3:$O$22,2),HLOOKUP(Q$33,СГИ!$P$1:$AI$2,2))),"",INDEX(СГИ!$P$3:$AI$22,VLOOKUP($P50,СГИ!$N$3:$O$22,2),HLOOKUP(Q$33,СГИ!$P$1:$AI$2,2)))=1,CONCATENATE("при измерении ",$P50," ",Q$33," не допускается ! "),"")</f>
      </c>
      <c r="R50" s="277">
        <f>IF(IF(ISNA(INDEX(СГИ!$P$3:$AI$22,VLOOKUP($P50,СГИ!$N$3:$O$22,2),HLOOKUP(R$33,СГИ!$P$1:$AI$2,2))),"",INDEX(СГИ!$P$3:$AI$22,VLOOKUP($P50,СГИ!$N$3:$O$22,2),HLOOKUP(R$33,СГИ!$P$1:$AI$2,2)))=1,CONCATENATE("при измерении ",$P50," ",R$33," не допускается ! "),"")</f>
      </c>
      <c r="S50" s="277">
        <f>IF(IF(ISNA(INDEX(СГИ!$P$3:$AI$22,VLOOKUP($P50,СГИ!$N$3:$O$22,2),HLOOKUP(S$33,СГИ!$P$1:$AI$2,2))),"",INDEX(СГИ!$P$3:$AI$22,VLOOKUP($P50,СГИ!$N$3:$O$22,2),HLOOKUP(S$33,СГИ!$P$1:$AI$2,2)))=1,CONCATENATE("при измерении ",$P50," ",S$33," не допускается ! "),"")</f>
      </c>
      <c r="T50" s="277">
        <f>IF(IF(ISNA(INDEX(СГИ!$P$3:$AI$22,VLOOKUP($P50,СГИ!$N$3:$O$22,2),HLOOKUP(T$33,СГИ!$P$1:$AI$2,2))),"",INDEX(СГИ!$P$3:$AI$22,VLOOKUP($P50,СГИ!$N$3:$O$22,2),HLOOKUP(T$33,СГИ!$P$1:$AI$2,2)))=1,CONCATENATE("при измерении ",$P50," ",T$33," не допускается ! "),"")</f>
      </c>
      <c r="U50" s="277">
        <f>IF(IF(ISNA(INDEX(СГИ!$P$3:$AI$22,VLOOKUP($P50,СГИ!$N$3:$O$22,2),HLOOKUP(U$33,СГИ!$P$1:$AI$2,2))),"",INDEX(СГИ!$P$3:$AI$22,VLOOKUP($P50,СГИ!$N$3:$O$22,2),HLOOKUP(U$33,СГИ!$P$1:$AI$2,2)))=1,CONCATENATE("при измерении ",$P50," ",U$33," не допускается ! "),"")</f>
      </c>
      <c r="V50" s="277">
        <f>IF(IF(ISNA(INDEX(СГИ!$P$3:$AI$22,VLOOKUP($P50,СГИ!$N$3:$O$22,2),HLOOKUP(V$33,СГИ!$P$1:$AI$2,2))),"",INDEX(СГИ!$P$3:$AI$22,VLOOKUP($P50,СГИ!$N$3:$O$22,2),HLOOKUP(V$33,СГИ!$P$1:$AI$2,2)))=1,CONCATENATE("при измерении ",$P50," ",V$33," не допускается ! "),"")</f>
      </c>
      <c r="W50" s="277">
        <f>IF(IF(ISNA(INDEX(СГИ!$P$3:$AI$22,VLOOKUP($P50,СГИ!$N$3:$O$22,2),HLOOKUP(W$33,СГИ!$P$1:$AI$2,2))),"",INDEX(СГИ!$P$3:$AI$22,VLOOKUP($P50,СГИ!$N$3:$O$22,2),HLOOKUP(W$33,СГИ!$P$1:$AI$2,2)))=1,CONCATENATE("при измерении ",$P50," ",W$33," не допускается ! "),"")</f>
      </c>
      <c r="X50" s="277">
        <f>IF(IF(ISNA(INDEX(СГИ!$P$3:$AI$22,VLOOKUP($P50,СГИ!$N$3:$O$22,2),HLOOKUP(X$33,СГИ!$P$1:$AI$2,2))),"",INDEX(СГИ!$P$3:$AI$22,VLOOKUP($P50,СГИ!$N$3:$O$22,2),HLOOKUP(X$33,СГИ!$P$1:$AI$2,2)))=1,CONCATENATE("при измерении ",$P50," ",X$33," не допускается ! "),"")</f>
      </c>
      <c r="Y50" s="277">
        <f>IF(IF(ISNA(INDEX(СГИ!$P$3:$AI$22,VLOOKUP($P50,СГИ!$N$3:$O$22,2),HLOOKUP(Y$33,СГИ!$P$1:$AI$2,2))),"",INDEX(СГИ!$P$3:$AI$22,VLOOKUP($P50,СГИ!$N$3:$O$22,2),HLOOKUP(Y$33,СГИ!$P$1:$AI$2,2)))=1,CONCATENATE("при измерении ",$P50," ",Y$33," не допускается ! "),"")</f>
      </c>
      <c r="Z50" s="277">
        <f>IF(IF(ISNA(INDEX(СГИ!$P$3:$AI$22,VLOOKUP($P50,СГИ!$N$3:$O$22,2),HLOOKUP(Z$33,СГИ!$P$1:$AI$2,2))),"",INDEX(СГИ!$P$3:$AI$22,VLOOKUP($P50,СГИ!$N$3:$O$22,2),HLOOKUP(Z$33,СГИ!$P$1:$AI$2,2)))=1,CONCATENATE("при измерении ",$P50," ",Z$33," не допускается ! "),"")</f>
      </c>
      <c r="AA50" s="277">
        <f>IF(IF(ISNA(INDEX(СГИ!$P$3:$AI$22,VLOOKUP($P50,СГИ!$N$3:$O$22,2),HLOOKUP(AA$33,СГИ!$P$1:$AI$2,2))),"",INDEX(СГИ!$P$3:$AI$22,VLOOKUP($P50,СГИ!$N$3:$O$22,2),HLOOKUP(AA$33,СГИ!$P$1:$AI$2,2)))=1,CONCATENATE("при измерении ",$P50," ",AA$33," не допускается ! "),"")</f>
      </c>
      <c r="AB50" s="277">
        <f>IF(IF(ISNA(INDEX(СГИ!$P$3:$AI$22,VLOOKUP($P50,СГИ!$N$3:$O$22,2),HLOOKUP(AB$33,СГИ!$P$1:$AI$2,2))),"",INDEX(СГИ!$P$3:$AI$22,VLOOKUP($P50,СГИ!$N$3:$O$22,2),HLOOKUP(AB$33,СГИ!$P$1:$AI$2,2)))=1,CONCATENATE("при измерении ",$P50," ",AB$33," не допускается ! "),"")</f>
      </c>
      <c r="AC50" s="277">
        <f>IF(IF(ISNA(INDEX(СГИ!$P$3:$AI$22,VLOOKUP($P50,СГИ!$N$3:$O$22,2),HLOOKUP(AC$33,СГИ!$P$1:$AI$2,2))),"",INDEX(СГИ!$P$3:$AI$22,VLOOKUP($P50,СГИ!$N$3:$O$22,2),HLOOKUP(AC$33,СГИ!$P$1:$AI$2,2)))=1,CONCATENATE("при измерении ",$P50," ",AC$33," не допускается ! "),"")</f>
      </c>
      <c r="AD50" s="277">
        <f>IF(IF(ISNA(INDEX(СГИ!$P$3:$AI$22,VLOOKUP($P50,СГИ!$N$3:$O$22,2),HLOOKUP(AD$33,СГИ!$P$1:$AI$2,2))),"",INDEX(СГИ!$P$3:$AI$22,VLOOKUP($P50,СГИ!$N$3:$O$22,2),HLOOKUP(AD$33,СГИ!$P$1:$AI$2,2)))=1,CONCATENATE("при измерении ",$P50," ",AD$33," не допускается ! "),"")</f>
      </c>
      <c r="AE50" s="277">
        <f>IF(IF(ISNA(INDEX(СГИ!$P$3:$AI$22,VLOOKUP($P50,СГИ!$N$3:$O$22,2),HLOOKUP(AE$33,СГИ!$P$1:$AI$2,2))),"",INDEX(СГИ!$P$3:$AI$22,VLOOKUP($P50,СГИ!$N$3:$O$22,2),HLOOKUP(AE$33,СГИ!$P$1:$AI$2,2)))=1,CONCATENATE("при измерении ",$P50," ",AE$33," не допускается ! "),"")</f>
      </c>
      <c r="AF50" s="277">
        <f>IF(IF(ISNA(INDEX(СГИ!$P$3:$AI$22,VLOOKUP($P50,СГИ!$N$3:$O$22,2),HLOOKUP(AF$33,СГИ!$P$1:$AI$2,2))),"",INDEX(СГИ!$P$3:$AI$22,VLOOKUP($P50,СГИ!$N$3:$O$22,2),HLOOKUP(AF$33,СГИ!$P$1:$AI$2,2)))=1,CONCATENATE("при измерении ",$P50," ",AF$33," не допускается ! "),"")</f>
      </c>
      <c r="AG50" s="277">
        <f>IF(IF(ISNA(INDEX(СГИ!$P$3:$AI$22,VLOOKUP($P50,СГИ!$N$3:$O$22,2),HLOOKUP(AG$33,СГИ!$P$1:$AI$2,2))),"",INDEX(СГИ!$P$3:$AI$22,VLOOKUP($P50,СГИ!$N$3:$O$22,2),HLOOKUP(AG$33,СГИ!$P$1:$AI$2,2)))=1,CONCATENATE("при измерении ",$P50," ",AG$33," не допускается ! "),"")</f>
      </c>
      <c r="AH50" s="372">
        <f>IF(IF(ISNA(INDEX(СГИ!$P$3:$AI$22,VLOOKUP($P50,СГИ!$N$3:$O$22,2),HLOOKUP(AH$33,СГИ!$P$1:$AI$2,2))),"",INDEX(СГИ!$P$3:$AI$22,VLOOKUP($P50,СГИ!$N$3:$O$22,2),HLOOKUP(AH$33,СГИ!$P$1:$AI$2,2)))=1,CONCATENATE("при измерении ",$P50," ",AH$33," не допускается ! "),"")</f>
      </c>
      <c r="AI50">
        <f t="shared" si="8"/>
      </c>
    </row>
    <row r="51" spans="2:35" ht="14.25">
      <c r="B51" s="437"/>
      <c r="C51" s="437"/>
      <c r="D51" s="438" t="s">
        <v>408</v>
      </c>
      <c r="E51" s="398"/>
      <c r="F51" s="417" t="str">
        <f>IF(SUM(E$34:E$45)+SUM(E$48:E$51)&gt;5,"&lt;- каналов не должно быть более 5",IF(E51&gt;1,"&lt;- уменьшите количество каналов",IF(SUM(E$34:E$45)+SUM(E$48:E$51)=5,"&lt;- дальнейший ввод невозможен",IF(E51=1,"","&lt;- введите данные, где необходимо"))))</f>
        <v>&lt;- введите данные, где необходимо</v>
      </c>
      <c r="J51" s="283">
        <f t="shared" si="9"/>
      </c>
      <c r="K51" s="341">
        <f t="shared" si="7"/>
        <v>0</v>
      </c>
      <c r="N51" s="399">
        <f>IF(E51&gt;0,ПГ!E24,"")</f>
      </c>
      <c r="P51" s="400">
        <f t="shared" si="5"/>
      </c>
      <c r="Q51" s="401">
        <f>IF(IF(ISNA(INDEX(СГИ!$P$3:$AI$22,VLOOKUP($P51,СГИ!$N$3:$O$22,2),HLOOKUP(Q$33,СГИ!$P$1:$AI$2,2))),"",INDEX(СГИ!$P$3:$AI$22,VLOOKUP($P51,СГИ!$N$3:$O$22,2),HLOOKUP(Q$33,СГИ!$P$1:$AI$2,2)))=1,CONCATENATE("при измерении ",$P51," ",Q$33," не допускается ! "),"")</f>
      </c>
      <c r="R51" s="401">
        <f>IF(IF(ISNA(INDEX(СГИ!$P$3:$AI$22,VLOOKUP($P51,СГИ!$N$3:$O$22,2),HLOOKUP(R$33,СГИ!$P$1:$AI$2,2))),"",INDEX(СГИ!$P$3:$AI$22,VLOOKUP($P51,СГИ!$N$3:$O$22,2),HLOOKUP(R$33,СГИ!$P$1:$AI$2,2)))=1,CONCATENATE("при измерении ",$P51," ",R$33," не допускается ! "),"")</f>
      </c>
      <c r="S51" s="401">
        <f>IF(IF(ISNA(INDEX(СГИ!$P$3:$AI$22,VLOOKUP($P51,СГИ!$N$3:$O$22,2),HLOOKUP(S$33,СГИ!$P$1:$AI$2,2))),"",INDEX(СГИ!$P$3:$AI$22,VLOOKUP($P51,СГИ!$N$3:$O$22,2),HLOOKUP(S$33,СГИ!$P$1:$AI$2,2)))=1,CONCATENATE("при измерении ",$P51," ",S$33," не допускается ! "),"")</f>
      </c>
      <c r="T51" s="401">
        <f>IF(IF(ISNA(INDEX(СГИ!$P$3:$AI$22,VLOOKUP($P51,СГИ!$N$3:$O$22,2),HLOOKUP(T$33,СГИ!$P$1:$AI$2,2))),"",INDEX(СГИ!$P$3:$AI$22,VLOOKUP($P51,СГИ!$N$3:$O$22,2),HLOOKUP(T$33,СГИ!$P$1:$AI$2,2)))=1,CONCATENATE("при измерении ",$P51," ",T$33," не допускается ! "),"")</f>
      </c>
      <c r="U51" s="401">
        <f>IF(IF(ISNA(INDEX(СГИ!$P$3:$AI$22,VLOOKUP($P51,СГИ!$N$3:$O$22,2),HLOOKUP(U$33,СГИ!$P$1:$AI$2,2))),"",INDEX(СГИ!$P$3:$AI$22,VLOOKUP($P51,СГИ!$N$3:$O$22,2),HLOOKUP(U$33,СГИ!$P$1:$AI$2,2)))=1,CONCATENATE("при измерении ",$P51," ",U$33," не допускается ! "),"")</f>
      </c>
      <c r="V51" s="401">
        <f>IF(IF(ISNA(INDEX(СГИ!$P$3:$AI$22,VLOOKUP($P51,СГИ!$N$3:$O$22,2),HLOOKUP(V$33,СГИ!$P$1:$AI$2,2))),"",INDEX(СГИ!$P$3:$AI$22,VLOOKUP($P51,СГИ!$N$3:$O$22,2),HLOOKUP(V$33,СГИ!$P$1:$AI$2,2)))=1,CONCATENATE("при измерении ",$P51," ",V$33," не допускается ! "),"")</f>
      </c>
      <c r="W51" s="401">
        <f>IF(IF(ISNA(INDEX(СГИ!$P$3:$AI$22,VLOOKUP($P51,СГИ!$N$3:$O$22,2),HLOOKUP(W$33,СГИ!$P$1:$AI$2,2))),"",INDEX(СГИ!$P$3:$AI$22,VLOOKUP($P51,СГИ!$N$3:$O$22,2),HLOOKUP(W$33,СГИ!$P$1:$AI$2,2)))=1,CONCATENATE("при измерении ",$P51," ",W$33," не допускается ! "),"")</f>
      </c>
      <c r="X51" s="401">
        <f>IF(IF(ISNA(INDEX(СГИ!$P$3:$AI$22,VLOOKUP($P51,СГИ!$N$3:$O$22,2),HLOOKUP(X$33,СГИ!$P$1:$AI$2,2))),"",INDEX(СГИ!$P$3:$AI$22,VLOOKUP($P51,СГИ!$N$3:$O$22,2),HLOOKUP(X$33,СГИ!$P$1:$AI$2,2)))=1,CONCATENATE("при измерении ",$P51," ",X$33," не допускается ! "),"")</f>
      </c>
      <c r="Y51" s="401">
        <f>IF(IF(ISNA(INDEX(СГИ!$P$3:$AI$22,VLOOKUP($P51,СГИ!$N$3:$O$22,2),HLOOKUP(Y$33,СГИ!$P$1:$AI$2,2))),"",INDEX(СГИ!$P$3:$AI$22,VLOOKUP($P51,СГИ!$N$3:$O$22,2),HLOOKUP(Y$33,СГИ!$P$1:$AI$2,2)))=1,CONCATENATE("при измерении ",$P51," ",Y$33," не допускается ! "),"")</f>
      </c>
      <c r="Z51" s="401">
        <f>IF(IF(ISNA(INDEX(СГИ!$P$3:$AI$22,VLOOKUP($P51,СГИ!$N$3:$O$22,2),HLOOKUP(Z$33,СГИ!$P$1:$AI$2,2))),"",INDEX(СГИ!$P$3:$AI$22,VLOOKUP($P51,СГИ!$N$3:$O$22,2),HLOOKUP(Z$33,СГИ!$P$1:$AI$2,2)))=1,CONCATENATE("при измерении ",$P51," ",Z$33," не допускается ! "),"")</f>
      </c>
      <c r="AA51" s="401">
        <f>IF(IF(ISNA(INDEX(СГИ!$P$3:$AI$22,VLOOKUP($P51,СГИ!$N$3:$O$22,2),HLOOKUP(AA$33,СГИ!$P$1:$AI$2,2))),"",INDEX(СГИ!$P$3:$AI$22,VLOOKUP($P51,СГИ!$N$3:$O$22,2),HLOOKUP(AA$33,СГИ!$P$1:$AI$2,2)))=1,CONCATENATE("при измерении ",$P51," ",AA$33," не допускается ! "),"")</f>
      </c>
      <c r="AB51" s="401">
        <f>IF(IF(ISNA(INDEX(СГИ!$P$3:$AI$22,VLOOKUP($P51,СГИ!$N$3:$O$22,2),HLOOKUP(AB$33,СГИ!$P$1:$AI$2,2))),"",INDEX(СГИ!$P$3:$AI$22,VLOOKUP($P51,СГИ!$N$3:$O$22,2),HLOOKUP(AB$33,СГИ!$P$1:$AI$2,2)))=1,CONCATENATE("при измерении ",$P51," ",AB$33," не допускается ! "),"")</f>
      </c>
      <c r="AC51" s="401">
        <f>IF(IF(ISNA(INDEX(СГИ!$P$3:$AI$22,VLOOKUP($P51,СГИ!$N$3:$O$22,2),HLOOKUP(AC$33,СГИ!$P$1:$AI$2,2))),"",INDEX(СГИ!$P$3:$AI$22,VLOOKUP($P51,СГИ!$N$3:$O$22,2),HLOOKUP(AC$33,СГИ!$P$1:$AI$2,2)))=1,CONCATENATE("при измерении ",$P51," ",AC$33," не допускается ! "),"")</f>
      </c>
      <c r="AD51" s="401">
        <f>IF(IF(ISNA(INDEX(СГИ!$P$3:$AI$22,VLOOKUP($P51,СГИ!$N$3:$O$22,2),HLOOKUP(AD$33,СГИ!$P$1:$AI$2,2))),"",INDEX(СГИ!$P$3:$AI$22,VLOOKUP($P51,СГИ!$N$3:$O$22,2),HLOOKUP(AD$33,СГИ!$P$1:$AI$2,2)))=1,CONCATENATE("при измерении ",$P51," ",AD$33," не допускается ! "),"")</f>
      </c>
      <c r="AE51" s="401">
        <f>IF(IF(ISNA(INDEX(СГИ!$P$3:$AI$22,VLOOKUP($P51,СГИ!$N$3:$O$22,2),HLOOKUP(AE$33,СГИ!$P$1:$AI$2,2))),"",INDEX(СГИ!$P$3:$AI$22,VLOOKUP($P51,СГИ!$N$3:$O$22,2),HLOOKUP(AE$33,СГИ!$P$1:$AI$2,2)))=1,CONCATENATE("при измерении ",$P51," ",AE$33," не допускается ! "),"")</f>
      </c>
      <c r="AF51" s="401">
        <f>IF(IF(ISNA(INDEX(СГИ!$P$3:$AI$22,VLOOKUP($P51,СГИ!$N$3:$O$22,2),HLOOKUP(AF$33,СГИ!$P$1:$AI$2,2))),"",INDEX(СГИ!$P$3:$AI$22,VLOOKUP($P51,СГИ!$N$3:$O$22,2),HLOOKUP(AF$33,СГИ!$P$1:$AI$2,2)))=1,CONCATENATE("при измерении ",$P51," ",AF$33," не допускается ! "),"")</f>
      </c>
      <c r="AG51" s="401">
        <f>IF(IF(ISNA(INDEX(СГИ!$P$3:$AI$22,VLOOKUP($P51,СГИ!$N$3:$O$22,2),HLOOKUP(AG$33,СГИ!$P$1:$AI$2,2))),"",INDEX(СГИ!$P$3:$AI$22,VLOOKUP($P51,СГИ!$N$3:$O$22,2),HLOOKUP(AG$33,СГИ!$P$1:$AI$2,2)))=1,CONCATENATE("при измерении ",$P51," ",AG$33," не допускается ! "),"")</f>
      </c>
      <c r="AH51" s="402">
        <f>IF(IF(ISNA(INDEX(СГИ!$P$3:$AI$22,VLOOKUP($P51,СГИ!$N$3:$O$22,2),HLOOKUP(AH$33,СГИ!$P$1:$AI$2,2))),"",INDEX(СГИ!$P$3:$AI$22,VLOOKUP($P51,СГИ!$N$3:$O$22,2),HLOOKUP(AH$33,СГИ!$P$1:$AI$2,2)))=1,CONCATENATE("при измерении ",$P51," ",AH$33," не допускается ! "),"")</f>
      </c>
      <c r="AI51">
        <f t="shared" si="8"/>
      </c>
    </row>
    <row r="52" spans="3:12" ht="22.5">
      <c r="C52"/>
      <c r="D52" s="439" t="s">
        <v>442</v>
      </c>
      <c r="E52" s="440"/>
      <c r="J52" s="316" t="s">
        <v>412</v>
      </c>
      <c r="K52" s="317">
        <f>SUM(K35:K39)</f>
        <v>0</v>
      </c>
      <c r="L52" s="343">
        <f>IF(K52-K35-K36&gt;1,"углеводороды не определяются селективно","")</f>
      </c>
    </row>
    <row r="53" spans="3:12" ht="33.75" customHeight="1" thickBot="1">
      <c r="C53"/>
      <c r="D53" s="441" t="s">
        <v>444</v>
      </c>
      <c r="E53" s="320"/>
      <c r="F53" s="717">
        <f>IF(E53=1,"допустимые варианты: а) CH4 и не более 2 каналов токсичных газов и кислорода;","")</f>
      </c>
      <c r="J53" s="316" t="s">
        <v>415</v>
      </c>
      <c r="K53" s="317">
        <f>SUM(K41:K51)</f>
        <v>0</v>
      </c>
      <c r="L53" s="322" t="str">
        <f>IF(AND(L52=""),IF(K54&gt;0,CONCATENATE("Хоббит-Т",J34,J35,J36,J37,J38,J39,J40,J41,J42,J43,J44,J45,J48,J50,J51),"данные не введены"),L52)</f>
        <v>данные не введены</v>
      </c>
    </row>
    <row r="54" spans="6:14" ht="21.75" customHeight="1" thickBot="1">
      <c r="F54" s="717">
        <f>IF(E53=1,"б) не более 3 каналов токсичных газов и кислорода","")</f>
      </c>
      <c r="J54" s="316" t="s">
        <v>417</v>
      </c>
      <c r="K54" s="317">
        <f>SUM(K34:K51)</f>
        <v>0</v>
      </c>
      <c r="L54" s="325" t="str">
        <f>IF(OR(AND(E53=1,E34+SUM(E41:E50)&gt;3),AND(K54&gt;5,E53="")),"(уменьшите число каналов)",IF(K54=0,"(введите необходимые данные)",IF(AND(E36=1,E41=1),"CO и COгор в одном блоке датчиков не допускаются","")))</f>
        <v>(введите необходимые данные)</v>
      </c>
      <c r="N54" s="411">
        <f>IF(K54&gt;3,-2000,IF(K54=3,1500,0))</f>
        <v>0</v>
      </c>
    </row>
    <row r="55" ht="12.75">
      <c r="J55" s="1">
        <f>3000*SIGN(E47+E50)*(K54-(E47+E50))</f>
        <v>0</v>
      </c>
    </row>
  </sheetData>
  <sheetProtection selectLockedCells="1" selectUnlockedCells="1"/>
  <dataValidations count="1">
    <dataValidation type="list" operator="equal" allowBlank="1" sqref="I49 I22">
      <formula1>Кабель!$A$2:$A$8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9"/>
  <sheetViews>
    <sheetView workbookViewId="0" topLeftCell="A1">
      <selection activeCell="AJ9" sqref="AJ9"/>
    </sheetView>
  </sheetViews>
  <sheetFormatPr defaultColWidth="9.00390625" defaultRowHeight="12.75"/>
  <cols>
    <col min="1" max="1" width="6.25390625" style="1" customWidth="1"/>
    <col min="2" max="2" width="16.125" style="1" customWidth="1"/>
    <col min="3" max="3" width="10.375" style="1" customWidth="1"/>
    <col min="4" max="4" width="10.75390625" style="1" customWidth="1"/>
    <col min="5" max="5" width="17.25390625" style="1" customWidth="1"/>
    <col min="6" max="6" width="25.125" style="1" customWidth="1"/>
    <col min="7" max="7" width="41.25390625" style="1" customWidth="1"/>
    <col min="8" max="8" width="14.125" style="1" hidden="1" customWidth="1"/>
    <col min="9" max="9" width="8.75390625" style="1" hidden="1" customWidth="1"/>
    <col min="10" max="10" width="18.25390625" style="1" hidden="1" customWidth="1"/>
    <col min="11" max="11" width="9.375" style="1" hidden="1" customWidth="1"/>
    <col min="12" max="12" width="0" style="351" hidden="1" customWidth="1"/>
    <col min="13" max="13" width="7.75390625" style="218" hidden="1" customWidth="1"/>
    <col min="14" max="14" width="14.125" style="218" hidden="1" customWidth="1"/>
    <col min="15" max="15" width="0" style="218" hidden="1" customWidth="1"/>
    <col min="16" max="16" width="16.00390625" style="1" hidden="1" customWidth="1"/>
    <col min="17" max="33" width="8.875" style="1" hidden="1" customWidth="1"/>
    <col min="34" max="16384" width="8.875" style="1" customWidth="1"/>
  </cols>
  <sheetData>
    <row r="1" spans="1:16" ht="15" customHeight="1">
      <c r="A1" s="229" t="s">
        <v>428</v>
      </c>
      <c r="B1" s="352"/>
      <c r="C1" s="352"/>
      <c r="D1" s="352"/>
      <c r="H1" s="228"/>
      <c r="L1" s="1"/>
      <c r="M1" s="1"/>
      <c r="N1" s="1"/>
      <c r="O1" s="1"/>
      <c r="P1" s="353"/>
    </row>
    <row r="2" spans="1:16" ht="12" customHeight="1">
      <c r="A2" s="354" t="s">
        <v>445</v>
      </c>
      <c r="C2" s="352"/>
      <c r="D2" s="352"/>
      <c r="E2" s="352"/>
      <c r="F2" s="352"/>
      <c r="G2" s="352"/>
      <c r="H2" s="352"/>
      <c r="L2" s="1">
        <f>IF(I28&gt;3,-4000,0)</f>
        <v>0</v>
      </c>
      <c r="M2" s="1"/>
      <c r="N2" s="1"/>
      <c r="O2" s="1"/>
      <c r="P2" s="355"/>
    </row>
    <row r="3" spans="1:15" ht="12" customHeight="1">
      <c r="A3" s="352" t="s">
        <v>430</v>
      </c>
      <c r="B3" s="352"/>
      <c r="C3" s="352"/>
      <c r="D3" s="352"/>
      <c r="E3" s="352"/>
      <c r="F3" s="352"/>
      <c r="G3" s="352"/>
      <c r="H3" s="352"/>
      <c r="L3" s="1"/>
      <c r="M3" s="1"/>
      <c r="N3" s="1"/>
      <c r="O3" s="1"/>
    </row>
    <row r="4" spans="1:15" ht="15.75" customHeight="1">
      <c r="A4" s="352"/>
      <c r="B4" s="352"/>
      <c r="C4" s="352"/>
      <c r="D4" s="352"/>
      <c r="E4" s="352"/>
      <c r="F4" s="356" t="s">
        <v>431</v>
      </c>
      <c r="G4" s="352"/>
      <c r="H4" s="352"/>
      <c r="L4" s="1"/>
      <c r="M4" s="1"/>
      <c r="N4" s="1"/>
      <c r="O4" s="1"/>
    </row>
    <row r="5" spans="1:15" ht="13.5" thickBot="1">
      <c r="A5" s="442"/>
      <c r="B5" s="443" t="s">
        <v>432</v>
      </c>
      <c r="C5" s="359" t="s">
        <v>419</v>
      </c>
      <c r="D5"/>
      <c r="E5"/>
      <c r="F5" s="887"/>
      <c r="G5" s="888"/>
      <c r="H5" s="883"/>
      <c r="I5" s="218"/>
      <c r="J5" s="218"/>
      <c r="L5" s="247" t="s">
        <v>362</v>
      </c>
      <c r="O5" s="1"/>
    </row>
    <row r="6" spans="1:33" ht="28.5" customHeight="1" thickBot="1">
      <c r="A6" s="444"/>
      <c r="B6" s="445" t="s">
        <v>365</v>
      </c>
      <c r="C6" s="446" t="s">
        <v>434</v>
      </c>
      <c r="D6"/>
      <c r="E6"/>
      <c r="F6" s="877" t="s">
        <v>367</v>
      </c>
      <c r="G6" s="878" t="s">
        <v>421</v>
      </c>
      <c r="H6" s="791" t="s">
        <v>435</v>
      </c>
      <c r="I6" s="791" t="s">
        <v>322</v>
      </c>
      <c r="J6" s="364"/>
      <c r="L6" s="586" t="s">
        <v>422</v>
      </c>
      <c r="N6" s="365"/>
      <c r="O6" s="260">
        <f>IF(N7="","",N7)</f>
      </c>
      <c r="P6" s="260">
        <f>IF(N8="","",N8)</f>
      </c>
      <c r="Q6" s="260">
        <f>IF(N9="","",N9)</f>
      </c>
      <c r="R6" s="260">
        <f>IF(N10="","",N10)</f>
      </c>
      <c r="S6" s="799">
        <f>IF(N11="","",N11)</f>
      </c>
      <c r="T6" s="261">
        <f>IF(N12="","",N12)</f>
      </c>
      <c r="U6" s="261">
        <f>IF(N13="","",N13)</f>
      </c>
      <c r="V6" s="261">
        <f>IF(N15="","",N15)</f>
      </c>
      <c r="W6" s="261">
        <f>IF(N16="","",N16)</f>
      </c>
      <c r="X6" s="261">
        <f>IF(N17="","",N17)</f>
      </c>
      <c r="Y6" s="261">
        <f>IF(N18="","",N18)</f>
      </c>
      <c r="Z6" s="261">
        <f>IF(N19="","",N19)</f>
      </c>
      <c r="AA6" s="261">
        <f>IF(N20="","",N20)</f>
      </c>
      <c r="AB6" s="261">
        <f>IF(N21="","",N21)</f>
      </c>
      <c r="AC6" s="261">
        <f>IF(N22="","",N22)</f>
      </c>
      <c r="AD6" s="261">
        <f>IF(N23="","",N23)</f>
      </c>
      <c r="AE6" s="261">
        <f>IF(N24="","",N24)</f>
      </c>
      <c r="AF6" s="261">
        <f>IF(N25="","",N25)</f>
      </c>
      <c r="AG6" s="262">
        <f>CONCATENATE(AG7,AG8,AG9,AG10,AG11,AG12,AG13,AG15,AG16,AG17,AG18,AG19,AG20,AG21,AG22,AG23,AG24,AG25)</f>
      </c>
    </row>
    <row r="7" spans="1:33" ht="21" customHeight="1" thickBot="1">
      <c r="A7" s="447"/>
      <c r="B7" s="448" t="s">
        <v>374</v>
      </c>
      <c r="C7" s="449"/>
      <c r="D7" s="369" t="str">
        <f>IF(SUM(C$7:C$21)&gt;4,"&lt;- сумма не должна быть более 4",IF(OR(C7=2,C7=3,C7=4,AND(C$11&gt;0,C7&gt;0)),"&lt;- уменьшите количество каналов",IF(OR(SUM(C$7:C$21)=4,AND(C$11=1,I$28=1)),"&lt;- дальнейший ввод невозможен",IF(C7=1,"","&lt;- введите данные, если необходимо"))))</f>
        <v>&lt;- введите данные, если необходимо</v>
      </c>
      <c r="E7"/>
      <c r="F7" s="849" t="s">
        <v>376</v>
      </c>
      <c r="G7" s="850" t="str">
        <f>IF(OR(I28&gt;4,SUM(C8:C13)&gt;1,SUM(C15:C23)&gt;2),"превышение числа каналов",IF(AND(C11=1,I28&gt;1),"превышение числа каналов",J27))</f>
        <v>данные не введены</v>
      </c>
      <c r="H7" s="894">
        <f>IF($C7=1,CONCATENATE("-",$B7),"")</f>
      </c>
      <c r="I7" s="792">
        <f aca="true" t="shared" si="0" ref="I7:I23">IF(H7="",0,1)</f>
        <v>0</v>
      </c>
      <c r="L7" s="805">
        <f>IF(C7&gt;0,ПГ!S7,"")</f>
      </c>
      <c r="N7" s="276">
        <f>MID(H7,2,9)</f>
      </c>
      <c r="O7" s="277">
        <f>IF(IF(ISNA(INDEX(СГИ!$P$3:$AI$22,VLOOKUP($N7,СГИ!$N$3:$O$22,2),HLOOKUP(O$6,СГИ!$P$1:$AI$2,2))),"",INDEX(СГИ!$P$3:$AI$22,VLOOKUP($N7,СГИ!$N$3:$O$22,2),HLOOKUP(O$6,СГИ!$P$1:$AI$2,2)))=1,CONCATENATE("при измерении ",$N7," ",O$6," не допускается ! "),"")</f>
      </c>
      <c r="P7" s="277">
        <f>IF(IF(ISNA(INDEX(СГИ!$P$3:$AI$22,VLOOKUP($N7,СГИ!$N$3:$O$22,2),HLOOKUP(P$6,СГИ!$P$1:$AI$2,2))),"",INDEX(СГИ!$P$3:$AI$22,VLOOKUP($N7,СГИ!$N$3:$O$22,2),HLOOKUP(P$6,СГИ!$P$1:$AI$2,2)))=1,CONCATENATE("при измерении ",$N7," ",P$6," не допускается ! "),"")</f>
      </c>
      <c r="Q7" s="277">
        <f>IF(IF(ISNA(INDEX(СГИ!$P$3:$AI$22,VLOOKUP($N7,СГИ!$N$3:$O$22,2),HLOOKUP(Q$6,СГИ!$P$1:$AI$2,2))),"",INDEX(СГИ!$P$3:$AI$22,VLOOKUP($N7,СГИ!$N$3:$O$22,2),HLOOKUP(Q$6,СГИ!$P$1:$AI$2,2)))=1,CONCATENATE("при измерении ",$N7," ",Q$6," не допускается ! "),"")</f>
      </c>
      <c r="R7" s="277">
        <f>IF(IF(ISNA(INDEX(СГИ!$P$3:$AI$22,VLOOKUP($N7,СГИ!$N$3:$O$22,2),HLOOKUP(R$6,СГИ!$P$1:$AI$2,2))),"",INDEX(СГИ!$P$3:$AI$22,VLOOKUP($N7,СГИ!$N$3:$O$22,2),HLOOKUP(R$6,СГИ!$P$1:$AI$2,2)))=1,CONCATENATE("при измерении ",$N7," ",R$6," не допускается ! "),"")</f>
      </c>
      <c r="S7" s="277">
        <f>IF(IF(ISNA(INDEX(СГИ!$P$3:$AI$22,VLOOKUP($N7,СГИ!$N$3:$O$22,2),HLOOKUP(S$6,СГИ!$P$1:$AI$2,2))),"",INDEX(СГИ!$P$3:$AI$22,VLOOKUP($N7,СГИ!$N$3:$O$22,2),HLOOKUP(S$6,СГИ!$P$1:$AI$2,2)))=1,CONCATENATE("при измерении ",$N7," ",S$6," не допускается ! "),"")</f>
      </c>
      <c r="T7" s="277">
        <f>IF(IF(ISNA(INDEX(СГИ!$P$3:$AI$22,VLOOKUP($N7,СГИ!$N$3:$O$22,2),HLOOKUP(T$6,СГИ!$P$1:$AI$2,2))),"",INDEX(СГИ!$P$3:$AI$22,VLOOKUP($N7,СГИ!$N$3:$O$22,2),HLOOKUP(T$6,СГИ!$P$1:$AI$2,2)))=1,CONCATENATE("при измерении ",$N7," ",T$6," не допускается ! "),"")</f>
      </c>
      <c r="U7" s="277">
        <f>IF(IF(ISNA(INDEX(СГИ!$P$3:$AI$22,VLOOKUP($N7,СГИ!$N$3:$O$22,2),HLOOKUP(U$6,СГИ!$P$1:$AI$2,2))),"",INDEX(СГИ!$P$3:$AI$22,VLOOKUP($N7,СГИ!$N$3:$O$22,2),HLOOKUP(U$6,СГИ!$P$1:$AI$2,2)))=1,CONCATENATE("при измерении ",$N7," ",U$6," не допускается ! "),"")</f>
      </c>
      <c r="V7" s="277">
        <f>IF(IF(ISNA(INDEX(СГИ!$P$3:$AI$22,VLOOKUP($N7,СГИ!$N$3:$O$22,2),HLOOKUP(V$6,СГИ!$P$1:$AI$2,2))),"",INDEX(СГИ!$P$3:$AI$22,VLOOKUP($N7,СГИ!$N$3:$O$22,2),HLOOKUP(V$6,СГИ!$P$1:$AI$2,2)))=1,CONCATENATE("при измерении ",$N7," ",V$6," не допускается ! "),"")</f>
      </c>
      <c r="W7" s="277">
        <f>IF(IF(ISNA(INDEX(СГИ!$P$3:$AI$22,VLOOKUP($N7,СГИ!$N$3:$O$22,2),HLOOKUP(W$6,СГИ!$P$1:$AI$2,2))),"",INDEX(СГИ!$P$3:$AI$22,VLOOKUP($N7,СГИ!$N$3:$O$22,2),HLOOKUP(W$6,СГИ!$P$1:$AI$2,2)))=1,CONCATENATE("при измерении ",$N7," ",W$6," не допускается ! "),"")</f>
      </c>
      <c r="X7" s="277">
        <f>IF(IF(ISNA(INDEX(СГИ!$P$3:$AI$22,VLOOKUP($N7,СГИ!$N$3:$O$22,2),HLOOKUP(X$6,СГИ!$P$1:$AI$2,2))),"",INDEX(СГИ!$P$3:$AI$22,VLOOKUP($N7,СГИ!$N$3:$O$22,2),HLOOKUP(X$6,СГИ!$P$1:$AI$2,2)))=1,CONCATENATE("при измерении ",$N7," ",X$6," не допускается ! "),"")</f>
      </c>
      <c r="Y7" s="277">
        <f>IF(IF(ISNA(INDEX(СГИ!$P$3:$AI$22,VLOOKUP($N7,СГИ!$N$3:$O$22,2),HLOOKUP(Y$6,СГИ!$P$1:$AI$2,2))),"",INDEX(СГИ!$P$3:$AI$22,VLOOKUP($N7,СГИ!$N$3:$O$22,2),HLOOKUP(Y$6,СГИ!$P$1:$AI$2,2)))=1,CONCATENATE("при измерении ",$N7," ",Y$6," не допускается ! "),"")</f>
      </c>
      <c r="Z7" s="277">
        <f>IF(IF(ISNA(INDEX(СГИ!$P$3:$AI$22,VLOOKUP($N7,СГИ!$N$3:$O$22,2),HLOOKUP(Z$6,СГИ!$P$1:$AI$2,2))),"",INDEX(СГИ!$P$3:$AI$22,VLOOKUP($N7,СГИ!$N$3:$O$22,2),HLOOKUP(Z$6,СГИ!$P$1:$AI$2,2)))=1,CONCATENATE("при измерении ",$N7," ",Z$6," не допускается ! "),"")</f>
      </c>
      <c r="AA7" s="277">
        <f>IF(IF(ISNA(INDEX(СГИ!$P$3:$AI$22,VLOOKUP($N7,СГИ!$N$3:$O$22,2),HLOOKUP(AA$6,СГИ!$P$1:$AI$2,2))),"",INDEX(СГИ!$P$3:$AI$22,VLOOKUP($N7,СГИ!$N$3:$O$22,2),HLOOKUP(AA$6,СГИ!$P$1:$AI$2,2)))=1,CONCATENATE("при измерении ",$N7," ",AA$6," не допускается ! "),"")</f>
      </c>
      <c r="AB7" s="277">
        <f>IF(IF(ISNA(INDEX(СГИ!$P$3:$AI$22,VLOOKUP($N7,СГИ!$N$3:$O$22,2),HLOOKUP(AB$6,СГИ!$P$1:$AI$2,2))),"",INDEX(СГИ!$P$3:$AI$22,VLOOKUP($N7,СГИ!$N$3:$O$22,2),HLOOKUP(AB$6,СГИ!$P$1:$AI$2,2)))=1,CONCATENATE("при измерении ",$N7," ",AB$6," не допускается ! "),"")</f>
      </c>
      <c r="AC7" s="277">
        <f>IF(IF(ISNA(INDEX(СГИ!$P$3:$AI$22,VLOOKUP($N7,СГИ!$N$3:$O$22,2),HLOOKUP(AC$6,СГИ!$P$1:$AI$2,2))),"",INDEX(СГИ!$P$3:$AI$22,VLOOKUP($N7,СГИ!$N$3:$O$22,2),HLOOKUP(AC$6,СГИ!$P$1:$AI$2,2)))=1,CONCATENATE("при измерении ",$N7," ",AC$6," не допускается ! "),"")</f>
      </c>
      <c r="AD7" s="277">
        <f>IF(IF(ISNA(INDEX(СГИ!$P$3:$AI$22,VLOOKUP($N7,СГИ!$N$3:$O$22,2),HLOOKUP(AD$6,СГИ!$P$1:$AI$2,2))),"",INDEX(СГИ!$P$3:$AI$22,VLOOKUP($N7,СГИ!$N$3:$O$22,2),HLOOKUP(AD$6,СГИ!$P$1:$AI$2,2)))=1,CONCATENATE("при измерении ",$N7," ",AD$6," не допускается ! "),"")</f>
      </c>
      <c r="AE7" s="277">
        <f>IF(IF(ISNA(INDEX(СГИ!$P$3:$AI$22,VLOOKUP($N7,СГИ!$N$3:$O$22,2),HLOOKUP(AE$6,СГИ!$P$1:$AI$2,2))),"",INDEX(СГИ!$P$3:$AI$22,VLOOKUP($N7,СГИ!$N$3:$O$22,2),HLOOKUP(AE$6,СГИ!$P$1:$AI$2,2)))=1,CONCATENATE("при измерении ",$N7," ",AE$6," не допускается ! "),"")</f>
      </c>
      <c r="AF7" s="372">
        <f>IF(IF(ISNA(INDEX(СГИ!$P$3:$AI$22,VLOOKUP($N7,СГИ!$N$3:$O$22,2),HLOOKUP(AF$6,СГИ!$P$1:$AI$2,2))),"",INDEX(СГИ!$P$3:$AI$22,VLOOKUP($N7,СГИ!$N$3:$O$22,2),HLOOKUP(AF$6,СГИ!$P$1:$AI$2,2)))=1,CONCATENATE("при измерении ",$N7," ",AF$6," не допускается ! "),"")</f>
      </c>
      <c r="AG7">
        <f aca="true" t="shared" si="1" ref="AG7:AG25">CONCATENATE(O7,P7,Q7,R7,S7,T7,U7,V7,W7,X7,Y7,Z7,AA7,AB7,AC7,AD7,AE7,AF7)</f>
      </c>
    </row>
    <row r="8" spans="1:33" ht="24" customHeight="1" thickBot="1">
      <c r="A8" s="444"/>
      <c r="B8" s="289" t="s">
        <v>378</v>
      </c>
      <c r="C8" s="450"/>
      <c r="D8" s="369" t="str">
        <f>IF(SUM(C$7:C$21)&gt;4,"&lt;- сумма не должна быть более 4",IF(OR(C8=2,C8=3,C8=4,AND(C$11&gt;0,C8&gt;0)),"&lt;- уменьшите количество каналов",IF(OR(SUM(C$7:C$21)=4,AND(C$11=1,I$28=1)),"&lt;- дальнейший ввод невозможен",IF(C8=1,"","&lt;- введите данные, если необходимо"))))</f>
        <v>&lt;- введите данные, если необходимо</v>
      </c>
      <c r="E8"/>
      <c r="F8" s="898"/>
      <c r="G8" s="899" t="str">
        <f>IF(NOT(J28=""),J28,AG6)</f>
        <v>(введите необходимые данные)</v>
      </c>
      <c r="H8" s="895">
        <f aca="true" t="shared" si="2" ref="H8:H23">IF($C8=1,CONCATENATE("-",$B8),"")</f>
      </c>
      <c r="I8" s="794">
        <f t="shared" si="0"/>
        <v>0</v>
      </c>
      <c r="L8" s="806">
        <f>IF(C8&gt;0,ПГ!S8,"")</f>
      </c>
      <c r="N8" s="276">
        <f>MID(H8,2,9)</f>
      </c>
      <c r="O8" s="277">
        <f>IF(IF(ISNA(INDEX(СГИ!$P$3:$AI$22,VLOOKUP($N8,СГИ!$N$3:$O$22,2),HLOOKUP(O$6,СГИ!$P$1:$AI$2,2))),"",INDEX(СГИ!$P$3:$AI$22,VLOOKUP($N8,СГИ!$N$3:$O$22,2),HLOOKUP(O$6,СГИ!$P$1:$AI$2,2)))=1,CONCATENATE("при измерении ",$N8," ",O$6," не допускается ! "),"")</f>
      </c>
      <c r="P8" s="277">
        <f>IF(IF(ISNA(INDEX(СГИ!$P$3:$AI$22,VLOOKUP($N8,СГИ!$N$3:$O$22,2),HLOOKUP(P$6,СГИ!$P$1:$AI$2,2))),"",INDEX(СГИ!$P$3:$AI$22,VLOOKUP($N8,СГИ!$N$3:$O$22,2),HLOOKUP(P$6,СГИ!$P$1:$AI$2,2)))=1,CONCATENATE("при измерении ",$N8," ",P$6," не допускается ! "),"")</f>
      </c>
      <c r="Q8" s="277">
        <f>IF(IF(ISNA(INDEX(СГИ!$P$3:$AI$22,VLOOKUP($N8,СГИ!$N$3:$O$22,2),HLOOKUP(Q$6,СГИ!$P$1:$AI$2,2))),"",INDEX(СГИ!$P$3:$AI$22,VLOOKUP($N8,СГИ!$N$3:$O$22,2),HLOOKUP(Q$6,СГИ!$P$1:$AI$2,2)))=1,CONCATENATE("при измерении ",$N8," ",Q$6," не допускается ! "),"")</f>
      </c>
      <c r="R8" s="277">
        <f>IF(IF(ISNA(INDEX(СГИ!$P$3:$AI$22,VLOOKUP($N8,СГИ!$N$3:$O$22,2),HLOOKUP(R$6,СГИ!$P$1:$AI$2,2))),"",INDEX(СГИ!$P$3:$AI$22,VLOOKUP($N8,СГИ!$N$3:$O$22,2),HLOOKUP(R$6,СГИ!$P$1:$AI$2,2)))=1,CONCATENATE("при измерении ",$N8," ",R$6," не допускается ! "),"")</f>
      </c>
      <c r="S8" s="277">
        <f>IF(IF(ISNA(INDEX(СГИ!$P$3:$AI$22,VLOOKUP($N8,СГИ!$N$3:$O$22,2),HLOOKUP(S$6,СГИ!$P$1:$AI$2,2))),"",INDEX(СГИ!$P$3:$AI$22,VLOOKUP($N8,СГИ!$N$3:$O$22,2),HLOOKUP(S$6,СГИ!$P$1:$AI$2,2)))=1,CONCATENATE("при измерении ",$N8," ",S$6," не допускается ! "),"")</f>
      </c>
      <c r="T8" s="277">
        <f>IF(IF(ISNA(INDEX(СГИ!$P$3:$AI$22,VLOOKUP($N8,СГИ!$N$3:$O$22,2),HLOOKUP(T$6,СГИ!$P$1:$AI$2,2))),"",INDEX(СГИ!$P$3:$AI$22,VLOOKUP($N8,СГИ!$N$3:$O$22,2),HLOOKUP(T$6,СГИ!$P$1:$AI$2,2)))=1,CONCATENATE("при измерении ",$N8," ",T$6," не допускается ! "),"")</f>
      </c>
      <c r="U8" s="277">
        <f>IF(IF(ISNA(INDEX(СГИ!$P$3:$AI$22,VLOOKUP($N8,СГИ!$N$3:$O$22,2),HLOOKUP(U$6,СГИ!$P$1:$AI$2,2))),"",INDEX(СГИ!$P$3:$AI$22,VLOOKUP($N8,СГИ!$N$3:$O$22,2),HLOOKUP(U$6,СГИ!$P$1:$AI$2,2)))=1,CONCATENATE("при измерении ",$N8," ",U$6," не допускается ! "),"")</f>
      </c>
      <c r="V8" s="277">
        <f>IF(IF(ISNA(INDEX(СГИ!$P$3:$AI$22,VLOOKUP($N8,СГИ!$N$3:$O$22,2),HLOOKUP(V$6,СГИ!$P$1:$AI$2,2))),"",INDEX(СГИ!$P$3:$AI$22,VLOOKUP($N8,СГИ!$N$3:$O$22,2),HLOOKUP(V$6,СГИ!$P$1:$AI$2,2)))=1,CONCATENATE("при измерении ",$N8," ",V$6," не допускается ! "),"")</f>
      </c>
      <c r="W8" s="277">
        <f>IF(IF(ISNA(INDEX(СГИ!$P$3:$AI$22,VLOOKUP($N8,СГИ!$N$3:$O$22,2),HLOOKUP(W$6,СГИ!$P$1:$AI$2,2))),"",INDEX(СГИ!$P$3:$AI$22,VLOOKUP($N8,СГИ!$N$3:$O$22,2),HLOOKUP(W$6,СГИ!$P$1:$AI$2,2)))=1,CONCATENATE("при измерении ",$N8," ",W$6," не допускается ! "),"")</f>
      </c>
      <c r="X8" s="277">
        <f>IF(IF(ISNA(INDEX(СГИ!$P$3:$AI$22,VLOOKUP($N8,СГИ!$N$3:$O$22,2),HLOOKUP(X$6,СГИ!$P$1:$AI$2,2))),"",INDEX(СГИ!$P$3:$AI$22,VLOOKUP($N8,СГИ!$N$3:$O$22,2),HLOOKUP(X$6,СГИ!$P$1:$AI$2,2)))=1,CONCATENATE("при измерении ",$N8," ",X$6," не допускается ! "),"")</f>
      </c>
      <c r="Y8" s="277">
        <f>IF(IF(ISNA(INDEX(СГИ!$P$3:$AI$22,VLOOKUP($N8,СГИ!$N$3:$O$22,2),HLOOKUP(Y$6,СГИ!$P$1:$AI$2,2))),"",INDEX(СГИ!$P$3:$AI$22,VLOOKUP($N8,СГИ!$N$3:$O$22,2),HLOOKUP(Y$6,СГИ!$P$1:$AI$2,2)))=1,CONCATENATE("при измерении ",$N8," ",Y$6," не допускается ! "),"")</f>
      </c>
      <c r="Z8" s="277">
        <f>IF(IF(ISNA(INDEX(СГИ!$P$3:$AI$22,VLOOKUP($N8,СГИ!$N$3:$O$22,2),HLOOKUP(Z$6,СГИ!$P$1:$AI$2,2))),"",INDEX(СГИ!$P$3:$AI$22,VLOOKUP($N8,СГИ!$N$3:$O$22,2),HLOOKUP(Z$6,СГИ!$P$1:$AI$2,2)))=1,CONCATENATE("при измерении ",$N8," ",Z$6," не допускается ! "),"")</f>
      </c>
      <c r="AA8" s="277">
        <f>IF(IF(ISNA(INDEX(СГИ!$P$3:$AI$22,VLOOKUP($N8,СГИ!$N$3:$O$22,2),HLOOKUP(AA$6,СГИ!$P$1:$AI$2,2))),"",INDEX(СГИ!$P$3:$AI$22,VLOOKUP($N8,СГИ!$N$3:$O$22,2),HLOOKUP(AA$6,СГИ!$P$1:$AI$2,2)))=1,CONCATENATE("при измерении ",$N8," ",AA$6," не допускается ! "),"")</f>
      </c>
      <c r="AB8" s="277">
        <f>IF(IF(ISNA(INDEX(СГИ!$P$3:$AI$22,VLOOKUP($N8,СГИ!$N$3:$O$22,2),HLOOKUP(AB$6,СГИ!$P$1:$AI$2,2))),"",INDEX(СГИ!$P$3:$AI$22,VLOOKUP($N8,СГИ!$N$3:$O$22,2),HLOOKUP(AB$6,СГИ!$P$1:$AI$2,2)))=1,CONCATENATE("при измерении ",$N8," ",AB$6," не допускается ! "),"")</f>
      </c>
      <c r="AC8" s="277">
        <f>IF(IF(ISNA(INDEX(СГИ!$P$3:$AI$22,VLOOKUP($N8,СГИ!$N$3:$O$22,2),HLOOKUP(AC$6,СГИ!$P$1:$AI$2,2))),"",INDEX(СГИ!$P$3:$AI$22,VLOOKUP($N8,СГИ!$N$3:$O$22,2),HLOOKUP(AC$6,СГИ!$P$1:$AI$2,2)))=1,CONCATENATE("при измерении ",$N8," ",AC$6," не допускается ! "),"")</f>
      </c>
      <c r="AD8" s="277">
        <f>IF(IF(ISNA(INDEX(СГИ!$P$3:$AI$22,VLOOKUP($N8,СГИ!$N$3:$O$22,2),HLOOKUP(AD$6,СГИ!$P$1:$AI$2,2))),"",INDEX(СГИ!$P$3:$AI$22,VLOOKUP($N8,СГИ!$N$3:$O$22,2),HLOOKUP(AD$6,СГИ!$P$1:$AI$2,2)))=1,CONCATENATE("при измерении ",$N8," ",AD$6," не допускается ! "),"")</f>
      </c>
      <c r="AE8" s="277">
        <f>IF(IF(ISNA(INDEX(СГИ!$P$3:$AI$22,VLOOKUP($N8,СГИ!$N$3:$O$22,2),HLOOKUP(AE$6,СГИ!$P$1:$AI$2,2))),"",INDEX(СГИ!$P$3:$AI$22,VLOOKUP($N8,СГИ!$N$3:$O$22,2),HLOOKUP(AE$6,СГИ!$P$1:$AI$2,2)))=1,CONCATENATE("при измерении ",$N8," ",AE$6," не допускается ! "),"")</f>
      </c>
      <c r="AF8" s="372">
        <f>IF(IF(ISNA(INDEX(СГИ!$P$3:$AI$22,VLOOKUP($N8,СГИ!$N$3:$O$22,2),HLOOKUP(AF$6,СГИ!$P$1:$AI$2,2))),"",INDEX(СГИ!$P$3:$AI$22,VLOOKUP($N8,СГИ!$N$3:$O$22,2),HLOOKUP(AF$6,СГИ!$P$1:$AI$2,2)))=1,CONCATENATE("при измерении ",$N8," ",AF$6," не допускается ! "),"")</f>
      </c>
      <c r="AG8">
        <f t="shared" si="1"/>
      </c>
    </row>
    <row r="9" spans="1:33" ht="28.5" customHeight="1" thickBot="1">
      <c r="A9" s="451"/>
      <c r="B9" s="819"/>
      <c r="C9" s="820"/>
      <c r="D9" s="827"/>
      <c r="E9" s="828"/>
      <c r="F9" s="814"/>
      <c r="G9" s="900">
        <f>IF(AND(G8="взрывозащита не предусмотрена",G7=""),"ниже - цена без взрывозащиты","")</f>
      </c>
      <c r="H9" s="835">
        <f t="shared" si="2"/>
      </c>
      <c r="I9" s="836"/>
      <c r="L9" s="806">
        <f>IF(C9&gt;0,ПГ!S9,"")</f>
      </c>
      <c r="N9" s="276">
        <f>MID(H9,2,9)</f>
      </c>
      <c r="O9" s="277">
        <f>IF(IF(ISNA(INDEX(СГИ!$P$3:$AI$22,VLOOKUP($N9,СГИ!$N$3:$O$22,2),HLOOKUP(O$6,СГИ!$P$1:$AI$2,2))),"",INDEX(СГИ!$P$3:$AI$22,VLOOKUP($N9,СГИ!$N$3:$O$22,2),HLOOKUP(O$6,СГИ!$P$1:$AI$2,2)))=1,CONCATENATE("при измерении ",$N9," ",O$6," не допускается ! "),"")</f>
      </c>
      <c r="P9" s="277">
        <f>IF(IF(ISNA(INDEX(СГИ!$P$3:$AI$22,VLOOKUP($N9,СГИ!$N$3:$O$22,2),HLOOKUP(P$6,СГИ!$P$1:$AI$2,2))),"",INDEX(СГИ!$P$3:$AI$22,VLOOKUP($N9,СГИ!$N$3:$O$22,2),HLOOKUP(P$6,СГИ!$P$1:$AI$2,2)))=1,CONCATENATE("при измерении ",$N9," ",P$6," не допускается ! "),"")</f>
      </c>
      <c r="Q9" s="277">
        <f>IF(IF(ISNA(INDEX(СГИ!$P$3:$AI$22,VLOOKUP($N9,СГИ!$N$3:$O$22,2),HLOOKUP(Q$6,СГИ!$P$1:$AI$2,2))),"",INDEX(СГИ!$P$3:$AI$22,VLOOKUP($N9,СГИ!$N$3:$O$22,2),HLOOKUP(Q$6,СГИ!$P$1:$AI$2,2)))=1,CONCATENATE("при измерении ",$N9," ",Q$6," не допускается ! "),"")</f>
      </c>
      <c r="R9" s="277">
        <f>IF(IF(ISNA(INDEX(СГИ!$P$3:$AI$22,VLOOKUP($N9,СГИ!$N$3:$O$22,2),HLOOKUP(R$6,СГИ!$P$1:$AI$2,2))),"",INDEX(СГИ!$P$3:$AI$22,VLOOKUP($N9,СГИ!$N$3:$O$22,2),HLOOKUP(R$6,СГИ!$P$1:$AI$2,2)))=1,CONCATENATE("при измерении ",$N9," ",R$6," не допускается ! "),"")</f>
      </c>
      <c r="S9" s="277">
        <f>IF(IF(ISNA(INDEX(СГИ!$P$3:$AI$22,VLOOKUP($N9,СГИ!$N$3:$O$22,2),HLOOKUP(S$6,СГИ!$P$1:$AI$2,2))),"",INDEX(СГИ!$P$3:$AI$22,VLOOKUP($N9,СГИ!$N$3:$O$22,2),HLOOKUP(S$6,СГИ!$P$1:$AI$2,2)))=1,CONCATENATE("при измерении ",$N9," ",S$6," не допускается ! "),"")</f>
      </c>
      <c r="T9" s="277">
        <f>IF(IF(ISNA(INDEX(СГИ!$P$3:$AI$22,VLOOKUP($N9,СГИ!$N$3:$O$22,2),HLOOKUP(T$6,СГИ!$P$1:$AI$2,2))),"",INDEX(СГИ!$P$3:$AI$22,VLOOKUP($N9,СГИ!$N$3:$O$22,2),HLOOKUP(T$6,СГИ!$P$1:$AI$2,2)))=1,CONCATENATE("при измерении ",$N9," ",T$6," не допускается ! "),"")</f>
      </c>
      <c r="U9" s="277">
        <f>IF(IF(ISNA(INDEX(СГИ!$P$3:$AI$22,VLOOKUP($N9,СГИ!$N$3:$O$22,2),HLOOKUP(U$6,СГИ!$P$1:$AI$2,2))),"",INDEX(СГИ!$P$3:$AI$22,VLOOKUP($N9,СГИ!$N$3:$O$22,2),HLOOKUP(U$6,СГИ!$P$1:$AI$2,2)))=1,CONCATENATE("при измерении ",$N9," ",U$6," не допускается ! "),"")</f>
      </c>
      <c r="V9" s="277">
        <f>IF(IF(ISNA(INDEX(СГИ!$P$3:$AI$22,VLOOKUP($N9,СГИ!$N$3:$O$22,2),HLOOKUP(V$6,СГИ!$P$1:$AI$2,2))),"",INDEX(СГИ!$P$3:$AI$22,VLOOKUP($N9,СГИ!$N$3:$O$22,2),HLOOKUP(V$6,СГИ!$P$1:$AI$2,2)))=1,CONCATENATE("при измерении ",$N9," ",V$6," не допускается ! "),"")</f>
      </c>
      <c r="W9" s="277">
        <f>IF(IF(ISNA(INDEX(СГИ!$P$3:$AI$22,VLOOKUP($N9,СГИ!$N$3:$O$22,2),HLOOKUP(W$6,СГИ!$P$1:$AI$2,2))),"",INDEX(СГИ!$P$3:$AI$22,VLOOKUP($N9,СГИ!$N$3:$O$22,2),HLOOKUP(W$6,СГИ!$P$1:$AI$2,2)))=1,CONCATENATE("при измерении ",$N9," ",W$6," не допускается ! "),"")</f>
      </c>
      <c r="X9" s="277">
        <f>IF(IF(ISNA(INDEX(СГИ!$P$3:$AI$22,VLOOKUP($N9,СГИ!$N$3:$O$22,2),HLOOKUP(X$6,СГИ!$P$1:$AI$2,2))),"",INDEX(СГИ!$P$3:$AI$22,VLOOKUP($N9,СГИ!$N$3:$O$22,2),HLOOKUP(X$6,СГИ!$P$1:$AI$2,2)))=1,CONCATENATE("при измерении ",$N9," ",X$6," не допускается ! "),"")</f>
      </c>
      <c r="Y9" s="277">
        <f>IF(IF(ISNA(INDEX(СГИ!$P$3:$AI$22,VLOOKUP($N9,СГИ!$N$3:$O$22,2),HLOOKUP(Y$6,СГИ!$P$1:$AI$2,2))),"",INDEX(СГИ!$P$3:$AI$22,VLOOKUP($N9,СГИ!$N$3:$O$22,2),HLOOKUP(Y$6,СГИ!$P$1:$AI$2,2)))=1,CONCATENATE("при измерении ",$N9," ",Y$6," не допускается ! "),"")</f>
      </c>
      <c r="Z9" s="277">
        <f>IF(IF(ISNA(INDEX(СГИ!$P$3:$AI$22,VLOOKUP($N9,СГИ!$N$3:$O$22,2),HLOOKUP(Z$6,СГИ!$P$1:$AI$2,2))),"",INDEX(СГИ!$P$3:$AI$22,VLOOKUP($N9,СГИ!$N$3:$O$22,2),HLOOKUP(Z$6,СГИ!$P$1:$AI$2,2)))=1,CONCATENATE("при измерении ",$N9," ",Z$6," не допускается ! "),"")</f>
      </c>
      <c r="AA9" s="277">
        <f>IF(IF(ISNA(INDEX(СГИ!$P$3:$AI$22,VLOOKUP($N9,СГИ!$N$3:$O$22,2),HLOOKUP(AA$6,СГИ!$P$1:$AI$2,2))),"",INDEX(СГИ!$P$3:$AI$22,VLOOKUP($N9,СГИ!$N$3:$O$22,2),HLOOKUP(AA$6,СГИ!$P$1:$AI$2,2)))=1,CONCATENATE("при измерении ",$N9," ",AA$6," не допускается ! "),"")</f>
      </c>
      <c r="AB9" s="277">
        <f>IF(IF(ISNA(INDEX(СГИ!$P$3:$AI$22,VLOOKUP($N9,СГИ!$N$3:$O$22,2),HLOOKUP(AB$6,СГИ!$P$1:$AI$2,2))),"",INDEX(СГИ!$P$3:$AI$22,VLOOKUP($N9,СГИ!$N$3:$O$22,2),HLOOKUP(AB$6,СГИ!$P$1:$AI$2,2)))=1,CONCATENATE("при измерении ",$N9," ",AB$6," не допускается ! "),"")</f>
      </c>
      <c r="AC9" s="277">
        <f>IF(IF(ISNA(INDEX(СГИ!$P$3:$AI$22,VLOOKUP($N9,СГИ!$N$3:$O$22,2),HLOOKUP(AC$6,СГИ!$P$1:$AI$2,2))),"",INDEX(СГИ!$P$3:$AI$22,VLOOKUP($N9,СГИ!$N$3:$O$22,2),HLOOKUP(AC$6,СГИ!$P$1:$AI$2,2)))=1,CONCATENATE("при измерении ",$N9," ",AC$6," не допускается ! "),"")</f>
      </c>
      <c r="AD9" s="277">
        <f>IF(IF(ISNA(INDEX(СГИ!$P$3:$AI$22,VLOOKUP($N9,СГИ!$N$3:$O$22,2),HLOOKUP(AD$6,СГИ!$P$1:$AI$2,2))),"",INDEX(СГИ!$P$3:$AI$22,VLOOKUP($N9,СГИ!$N$3:$O$22,2),HLOOKUP(AD$6,СГИ!$P$1:$AI$2,2)))=1,CONCATENATE("при измерении ",$N9," ",AD$6," не допускается ! "),"")</f>
      </c>
      <c r="AE9" s="277">
        <f>IF(IF(ISNA(INDEX(СГИ!$P$3:$AI$22,VLOOKUP($N9,СГИ!$N$3:$O$22,2),HLOOKUP(AE$6,СГИ!$P$1:$AI$2,2))),"",INDEX(СГИ!$P$3:$AI$22,VLOOKUP($N9,СГИ!$N$3:$O$22,2),HLOOKUP(AE$6,СГИ!$P$1:$AI$2,2)))=1,CONCATENATE("при измерении ",$N9," ",AE$6," не допускается ! "),"")</f>
      </c>
      <c r="AF9" s="372">
        <f>IF(IF(ISNA(INDEX(СГИ!$P$3:$AI$22,VLOOKUP($N9,СГИ!$N$3:$O$22,2),HLOOKUP(AF$6,СГИ!$P$1:$AI$2,2))),"",INDEX(СГИ!$P$3:$AI$22,VLOOKUP($N9,СГИ!$N$3:$O$22,2),HLOOKUP(AF$6,СГИ!$P$1:$AI$2,2)))=1,CONCATENATE("при измерении ",$N9," ",AF$6," не допускается ! "),"")</f>
      </c>
      <c r="AG9">
        <f t="shared" si="1"/>
      </c>
    </row>
    <row r="10" spans="1:33" ht="26.25" customHeight="1" thickBot="1">
      <c r="A10" s="451"/>
      <c r="B10" s="289" t="s">
        <v>384</v>
      </c>
      <c r="C10" s="450"/>
      <c r="D10" s="369" t="str">
        <f>IF(SUM(C$7:C$21)&gt;4,"&lt;- сумма не должна быть более 4",IF(OR(C10=2,C10=3,C10=4,AND(C$11&gt;0,C10&gt;0)),"&lt;- уменьшите количество каналов",IF(OR(SUM(C$7:C$21)=4,AND(C$11=1,I$28=1)),"&lt;- дальнейший ввод невозможен",IF(C10=1,"","&lt;- введите данные, если необходимо"))))</f>
        <v>&lt;- введите данные, если необходимо</v>
      </c>
      <c r="E10"/>
      <c r="F10" s="815"/>
      <c r="G10" s="901">
        <f>IF(AND(G9="взрывозащита не предусмотрена",G8=""),"ниже - цена без взрывозащиты","")</f>
      </c>
      <c r="H10" s="894">
        <f t="shared" si="2"/>
      </c>
      <c r="I10" s="792">
        <f t="shared" si="0"/>
        <v>0</v>
      </c>
      <c r="L10" s="806">
        <f>IF(C10&gt;0,ПГ!S10,"")</f>
      </c>
      <c r="N10" s="276">
        <f>MID(H10,2,9)</f>
      </c>
      <c r="O10" s="277">
        <f>IF(IF(ISNA(INDEX(СГИ!$P$3:$AI$22,VLOOKUP($N10,СГИ!$N$3:$O$22,2),HLOOKUP(O$6,СГИ!$P$1:$AI$2,2))),"",INDEX(СГИ!$P$3:$AI$22,VLOOKUP($N10,СГИ!$N$3:$O$22,2),HLOOKUP(O$6,СГИ!$P$1:$AI$2,2)))=1,CONCATENATE("при измерении ",$N10," ",O$6," не допускается ! "),"")</f>
      </c>
      <c r="P10" s="277">
        <f>IF(IF(ISNA(INDEX(СГИ!$P$3:$AI$22,VLOOKUP($N10,СГИ!$N$3:$O$22,2),HLOOKUP(P$6,СГИ!$P$1:$AI$2,2))),"",INDEX(СГИ!$P$3:$AI$22,VLOOKUP($N10,СГИ!$N$3:$O$22,2),HLOOKUP(P$6,СГИ!$P$1:$AI$2,2)))=1,CONCATENATE("при измерении ",$N10," ",P$6," не допускается ! "),"")</f>
      </c>
      <c r="Q10" s="277">
        <f>IF(IF(ISNA(INDEX(СГИ!$P$3:$AI$22,VLOOKUP($N10,СГИ!$N$3:$O$22,2),HLOOKUP(Q$6,СГИ!$P$1:$AI$2,2))),"",INDEX(СГИ!$P$3:$AI$22,VLOOKUP($N10,СГИ!$N$3:$O$22,2),HLOOKUP(Q$6,СГИ!$P$1:$AI$2,2)))=1,CONCATENATE("при измерении ",$N10," ",Q$6," не допускается ! "),"")</f>
      </c>
      <c r="R10" s="277">
        <f>IF(IF(ISNA(INDEX(СГИ!$P$3:$AI$22,VLOOKUP($N10,СГИ!$N$3:$O$22,2),HLOOKUP(R$6,СГИ!$P$1:$AI$2,2))),"",INDEX(СГИ!$P$3:$AI$22,VLOOKUP($N10,СГИ!$N$3:$O$22,2),HLOOKUP(R$6,СГИ!$P$1:$AI$2,2)))=1,CONCATENATE("при измерении ",$N10," ",R$6," не допускается ! "),"")</f>
      </c>
      <c r="S10" s="277">
        <f>IF(IF(ISNA(INDEX(СГИ!$P$3:$AI$22,VLOOKUP($N10,СГИ!$N$3:$O$22,2),HLOOKUP(S$6,СГИ!$P$1:$AI$2,2))),"",INDEX(СГИ!$P$3:$AI$22,VLOOKUP($N10,СГИ!$N$3:$O$22,2),HLOOKUP(S$6,СГИ!$P$1:$AI$2,2)))=1,CONCATENATE("при измерении ",$N10," ",S$6," не допускается ! "),"")</f>
      </c>
      <c r="T10" s="277">
        <f>IF(IF(ISNA(INDEX(СГИ!$P$3:$AI$22,VLOOKUP($N10,СГИ!$N$3:$O$22,2),HLOOKUP(T$6,СГИ!$P$1:$AI$2,2))),"",INDEX(СГИ!$P$3:$AI$22,VLOOKUP($N10,СГИ!$N$3:$O$22,2),HLOOKUP(T$6,СГИ!$P$1:$AI$2,2)))=1,CONCATENATE("при измерении ",$N10," ",T$6," не допускается ! "),"")</f>
      </c>
      <c r="U10" s="277">
        <f>IF(IF(ISNA(INDEX(СГИ!$P$3:$AI$22,VLOOKUP($N10,СГИ!$N$3:$O$22,2),HLOOKUP(U$6,СГИ!$P$1:$AI$2,2))),"",INDEX(СГИ!$P$3:$AI$22,VLOOKUP($N10,СГИ!$N$3:$O$22,2),HLOOKUP(U$6,СГИ!$P$1:$AI$2,2)))=1,CONCATENATE("при измерении ",$N10," ",U$6," не допускается ! "),"")</f>
      </c>
      <c r="V10" s="277">
        <f>IF(IF(ISNA(INDEX(СГИ!$P$3:$AI$22,VLOOKUP($N10,СГИ!$N$3:$O$22,2),HLOOKUP(V$6,СГИ!$P$1:$AI$2,2))),"",INDEX(СГИ!$P$3:$AI$22,VLOOKUP($N10,СГИ!$N$3:$O$22,2),HLOOKUP(V$6,СГИ!$P$1:$AI$2,2)))=1,CONCATENATE("при измерении ",$N10," ",V$6," не допускается ! "),"")</f>
      </c>
      <c r="W10" s="277">
        <f>IF(IF(ISNA(INDEX(СГИ!$P$3:$AI$22,VLOOKUP($N10,СГИ!$N$3:$O$22,2),HLOOKUP(W$6,СГИ!$P$1:$AI$2,2))),"",INDEX(СГИ!$P$3:$AI$22,VLOOKUP($N10,СГИ!$N$3:$O$22,2),HLOOKUP(W$6,СГИ!$P$1:$AI$2,2)))=1,CONCATENATE("при измерении ",$N10," ",W$6," не допускается ! "),"")</f>
      </c>
      <c r="X10" s="277">
        <f>IF(IF(ISNA(INDEX(СГИ!$P$3:$AI$22,VLOOKUP($N10,СГИ!$N$3:$O$22,2),HLOOKUP(X$6,СГИ!$P$1:$AI$2,2))),"",INDEX(СГИ!$P$3:$AI$22,VLOOKUP($N10,СГИ!$N$3:$O$22,2),HLOOKUP(X$6,СГИ!$P$1:$AI$2,2)))=1,CONCATENATE("при измерении ",$N10," ",X$6," не допускается ! "),"")</f>
      </c>
      <c r="Y10" s="277">
        <f>IF(IF(ISNA(INDEX(СГИ!$P$3:$AI$22,VLOOKUP($N10,СГИ!$N$3:$O$22,2),HLOOKUP(Y$6,СГИ!$P$1:$AI$2,2))),"",INDEX(СГИ!$P$3:$AI$22,VLOOKUP($N10,СГИ!$N$3:$O$22,2),HLOOKUP(Y$6,СГИ!$P$1:$AI$2,2)))=1,CONCATENATE("при измерении ",$N10," ",Y$6," не допускается ! "),"")</f>
      </c>
      <c r="Z10" s="277">
        <f>IF(IF(ISNA(INDEX(СГИ!$P$3:$AI$22,VLOOKUP($N10,СГИ!$N$3:$O$22,2),HLOOKUP(Z$6,СГИ!$P$1:$AI$2,2))),"",INDEX(СГИ!$P$3:$AI$22,VLOOKUP($N10,СГИ!$N$3:$O$22,2),HLOOKUP(Z$6,СГИ!$P$1:$AI$2,2)))=1,CONCATENATE("при измерении ",$N10," ",Z$6," не допускается ! "),"")</f>
      </c>
      <c r="AA10" s="277">
        <f>IF(IF(ISNA(INDEX(СГИ!$P$3:$AI$22,VLOOKUP($N10,СГИ!$N$3:$O$22,2),HLOOKUP(AA$6,СГИ!$P$1:$AI$2,2))),"",INDEX(СГИ!$P$3:$AI$22,VLOOKUP($N10,СГИ!$N$3:$O$22,2),HLOOKUP(AA$6,СГИ!$P$1:$AI$2,2)))=1,CONCATENATE("при измерении ",$N10," ",AA$6," не допускается ! "),"")</f>
      </c>
      <c r="AB10" s="277">
        <f>IF(IF(ISNA(INDEX(СГИ!$P$3:$AI$22,VLOOKUP($N10,СГИ!$N$3:$O$22,2),HLOOKUP(AB$6,СГИ!$P$1:$AI$2,2))),"",INDEX(СГИ!$P$3:$AI$22,VLOOKUP($N10,СГИ!$N$3:$O$22,2),HLOOKUP(AB$6,СГИ!$P$1:$AI$2,2)))=1,CONCATENATE("при измерении ",$N10," ",AB$6," не допускается ! "),"")</f>
      </c>
      <c r="AC10" s="277">
        <f>IF(IF(ISNA(INDEX(СГИ!$P$3:$AI$22,VLOOKUP($N10,СГИ!$N$3:$O$22,2),HLOOKUP(AC$6,СГИ!$P$1:$AI$2,2))),"",INDEX(СГИ!$P$3:$AI$22,VLOOKUP($N10,СГИ!$N$3:$O$22,2),HLOOKUP(AC$6,СГИ!$P$1:$AI$2,2)))=1,CONCATENATE("при измерении ",$N10," ",AC$6," не допускается ! "),"")</f>
      </c>
      <c r="AD10" s="277">
        <f>IF(IF(ISNA(INDEX(СГИ!$P$3:$AI$22,VLOOKUP($N10,СГИ!$N$3:$O$22,2),HLOOKUP(AD$6,СГИ!$P$1:$AI$2,2))),"",INDEX(СГИ!$P$3:$AI$22,VLOOKUP($N10,СГИ!$N$3:$O$22,2),HLOOKUP(AD$6,СГИ!$P$1:$AI$2,2)))=1,CONCATENATE("при измерении ",$N10," ",AD$6," не допускается ! "),"")</f>
      </c>
      <c r="AE10" s="277">
        <f>IF(IF(ISNA(INDEX(СГИ!$P$3:$AI$22,VLOOKUP($N10,СГИ!$N$3:$O$22,2),HLOOKUP(AE$6,СГИ!$P$1:$AI$2,2))),"",INDEX(СГИ!$P$3:$AI$22,VLOOKUP($N10,СГИ!$N$3:$O$22,2),HLOOKUP(AE$6,СГИ!$P$1:$AI$2,2)))=1,CONCATENATE("при измерении ",$N10," ",AE$6," не допускается ! "),"")</f>
      </c>
      <c r="AF10" s="372">
        <f>IF(IF(ISNA(INDEX(СГИ!$P$3:$AI$22,VLOOKUP($N10,СГИ!$N$3:$O$22,2),HLOOKUP(AF$6,СГИ!$P$1:$AI$2,2))),"",INDEX(СГИ!$P$3:$AI$22,VLOOKUP($N10,СГИ!$N$3:$O$22,2),HLOOKUP(AF$6,СГИ!$P$1:$AI$2,2)))=1,CONCATENATE("при измерении ",$N10," ",AF$6," не допускается ! "),"")</f>
      </c>
      <c r="AG10">
        <f t="shared" si="1"/>
      </c>
    </row>
    <row r="11" spans="1:33" ht="27" customHeight="1" thickBot="1">
      <c r="A11" s="451"/>
      <c r="B11" s="289" t="s">
        <v>571</v>
      </c>
      <c r="C11" s="455"/>
      <c r="D11" s="369" t="str">
        <f>IF(SUM(C$7:C$21)&gt;4,"&lt;- сумма не должна быть более 4",IF(OR(C11=2,C11=3,C11=4),"&lt;- уменьшите количество каналов",IF(OR(SUM(C$7:C$21)=4,AND(C$11=1,I$28=1)),"&lt;- дальнейший ввод невозможен",IF(C11=1,"","&lt;- введите данные, если необходимо"))))</f>
        <v>&lt;- введите данные, если необходимо</v>
      </c>
      <c r="F11" s="816"/>
      <c r="G11" s="902"/>
      <c r="H11" s="896">
        <f t="shared" si="2"/>
      </c>
      <c r="I11" s="793">
        <f t="shared" si="0"/>
        <v>0</v>
      </c>
      <c r="L11" s="806">
        <f>IF(C11&gt;0,ПГ!S11,"")</f>
      </c>
      <c r="N11" s="798"/>
      <c r="O11" s="277">
        <f>IF(IF(ISNA(INDEX(СГИ!$P$3:$AI$22,VLOOKUP($N11,СГИ!$N$3:$O$22,2),HLOOKUP(O$6,СГИ!$P$1:$AI$2,2))),"",INDEX(СГИ!$P$3:$AI$22,VLOOKUP($N11,СГИ!$N$3:$O$22,2),HLOOKUP(O$6,СГИ!$P$1:$AI$2,2)))=1,CONCATENATE("при измерении ",$N11," ",O$6," не допускается ! "),"")</f>
      </c>
      <c r="P11" s="277">
        <f>IF(IF(ISNA(INDEX(СГИ!$P$3:$AI$22,VLOOKUP($N11,СГИ!$N$3:$O$22,2),HLOOKUP(P$6,СГИ!$P$1:$AI$2,2))),"",INDEX(СГИ!$P$3:$AI$22,VLOOKUP($N11,СГИ!$N$3:$O$22,2),HLOOKUP(P$6,СГИ!$P$1:$AI$2,2)))=1,CONCATENATE("при измерении ",$N11," ",P$6," не допускается ! "),"")</f>
      </c>
      <c r="Q11" s="277">
        <f>IF(IF(ISNA(INDEX(СГИ!$P$3:$AI$22,VLOOKUP($N11,СГИ!$N$3:$O$22,2),HLOOKUP(Q$6,СГИ!$P$1:$AI$2,2))),"",INDEX(СГИ!$P$3:$AI$22,VLOOKUP($N11,СГИ!$N$3:$O$22,2),HLOOKUP(Q$6,СГИ!$P$1:$AI$2,2)))=1,CONCATENATE("при измерении ",$N11," ",Q$6," не допускается ! "),"")</f>
      </c>
      <c r="R11" s="277">
        <f>IF(IF(ISNA(INDEX(СГИ!$P$3:$AI$22,VLOOKUP($N11,СГИ!$N$3:$O$22,2),HLOOKUP(R$6,СГИ!$P$1:$AI$2,2))),"",INDEX(СГИ!$P$3:$AI$22,VLOOKUP($N11,СГИ!$N$3:$O$22,2),HLOOKUP(R$6,СГИ!$P$1:$AI$2,2)))=1,CONCATENATE("при измерении ",$N11," ",R$6," не допускается ! "),"")</f>
      </c>
      <c r="S11" s="277">
        <f>IF(IF(ISNA(INDEX(СГИ!$P$3:$AI$22,VLOOKUP($N11,СГИ!$N$3:$O$22,2),HLOOKUP(S$6,СГИ!$P$1:$AI$2,2))),"",INDEX(СГИ!$P$3:$AI$22,VLOOKUP($N11,СГИ!$N$3:$O$22,2),HLOOKUP(S$6,СГИ!$P$1:$AI$2,2)))=1,CONCATENATE("при измерении ",$N11," ",S$6," не допускается ! "),"")</f>
      </c>
      <c r="T11" s="277">
        <f>IF(IF(ISNA(INDEX(СГИ!$P$3:$AI$22,VLOOKUP($N11,СГИ!$N$3:$O$22,2),HLOOKUP(T$6,СГИ!$P$1:$AI$2,2))),"",INDEX(СГИ!$P$3:$AI$22,VLOOKUP($N11,СГИ!$N$3:$O$22,2),HLOOKUP(T$6,СГИ!$P$1:$AI$2,2)))=1,CONCATENATE("при измерении ",$N11," ",T$6," не допускается ! "),"")</f>
      </c>
      <c r="U11" s="277">
        <f>IF(IF(ISNA(INDEX(СГИ!$P$3:$AI$22,VLOOKUP($N11,СГИ!$N$3:$O$22,2),HLOOKUP(U$6,СГИ!$P$1:$AI$2,2))),"",INDEX(СГИ!$P$3:$AI$22,VLOOKUP($N11,СГИ!$N$3:$O$22,2),HLOOKUP(U$6,СГИ!$P$1:$AI$2,2)))=1,CONCATENATE("при измерении ",$N11," ",U$6," не допускается ! "),"")</f>
      </c>
      <c r="V11" s="277">
        <f>IF(IF(ISNA(INDEX(СГИ!$P$3:$AI$22,VLOOKUP($N11,СГИ!$N$3:$O$22,2),HLOOKUP(V$6,СГИ!$P$1:$AI$2,2))),"",INDEX(СГИ!$P$3:$AI$22,VLOOKUP($N11,СГИ!$N$3:$O$22,2),HLOOKUP(V$6,СГИ!$P$1:$AI$2,2)))=1,CONCATENATE("при измерении ",$N11," ",V$6," не допускается ! "),"")</f>
      </c>
      <c r="W11" s="277">
        <f>IF(IF(ISNA(INDEX(СГИ!$P$3:$AI$22,VLOOKUP($N11,СГИ!$N$3:$O$22,2),HLOOKUP(W$6,СГИ!$P$1:$AI$2,2))),"",INDEX(СГИ!$P$3:$AI$22,VLOOKUP($N11,СГИ!$N$3:$O$22,2),HLOOKUP(W$6,СГИ!$P$1:$AI$2,2)))=1,CONCATENATE("при измерении ",$N11," ",W$6," не допускается ! "),"")</f>
      </c>
      <c r="X11" s="277">
        <f>IF(IF(ISNA(INDEX(СГИ!$P$3:$AI$22,VLOOKUP($N11,СГИ!$N$3:$O$22,2),HLOOKUP(X$6,СГИ!$P$1:$AI$2,2))),"",INDEX(СГИ!$P$3:$AI$22,VLOOKUP($N11,СГИ!$N$3:$O$22,2),HLOOKUP(X$6,СГИ!$P$1:$AI$2,2)))=1,CONCATENATE("при измерении ",$N11," ",X$6," не допускается ! "),"")</f>
      </c>
      <c r="Y11" s="277">
        <f>IF(IF(ISNA(INDEX(СГИ!$P$3:$AI$22,VLOOKUP($N11,СГИ!$N$3:$O$22,2),HLOOKUP(Y$6,СГИ!$P$1:$AI$2,2))),"",INDEX(СГИ!$P$3:$AI$22,VLOOKUP($N11,СГИ!$N$3:$O$22,2),HLOOKUP(Y$6,СГИ!$P$1:$AI$2,2)))=1,CONCATENATE("при измерении ",$N11," ",Y$6," не допускается ! "),"")</f>
      </c>
      <c r="Z11" s="277">
        <f>IF(IF(ISNA(INDEX(СГИ!$P$3:$AI$22,VLOOKUP($N11,СГИ!$N$3:$O$22,2),HLOOKUP(Z$6,СГИ!$P$1:$AI$2,2))),"",INDEX(СГИ!$P$3:$AI$22,VLOOKUP($N11,СГИ!$N$3:$O$22,2),HLOOKUP(Z$6,СГИ!$P$1:$AI$2,2)))=1,CONCATENATE("при измерении ",$N11," ",Z$6," не допускается ! "),"")</f>
      </c>
      <c r="AA11" s="277">
        <f>IF(IF(ISNA(INDEX(СГИ!$P$3:$AI$22,VLOOKUP($N11,СГИ!$N$3:$O$22,2),HLOOKUP(AA$6,СГИ!$P$1:$AI$2,2))),"",INDEX(СГИ!$P$3:$AI$22,VLOOKUP($N11,СГИ!$N$3:$O$22,2),HLOOKUP(AA$6,СГИ!$P$1:$AI$2,2)))=1,CONCATENATE("при измерении ",$N11," ",AA$6," не допускается ! "),"")</f>
      </c>
      <c r="AB11" s="277">
        <f>IF(IF(ISNA(INDEX(СГИ!$P$3:$AI$22,VLOOKUP($N11,СГИ!$N$3:$O$22,2),HLOOKUP(AB$6,СГИ!$P$1:$AI$2,2))),"",INDEX(СГИ!$P$3:$AI$22,VLOOKUP($N11,СГИ!$N$3:$O$22,2),HLOOKUP(AB$6,СГИ!$P$1:$AI$2,2)))=1,CONCATENATE("при измерении ",$N11," ",AB$6," не допускается ! "),"")</f>
      </c>
      <c r="AC11" s="277">
        <f>IF(IF(ISNA(INDEX(СГИ!$P$3:$AI$22,VLOOKUP($N11,СГИ!$N$3:$O$22,2),HLOOKUP(AC$6,СГИ!$P$1:$AI$2,2))),"",INDEX(СГИ!$P$3:$AI$22,VLOOKUP($N11,СГИ!$N$3:$O$22,2),HLOOKUP(AC$6,СГИ!$P$1:$AI$2,2)))=1,CONCATENATE("при измерении ",$N11," ",AC$6," не допускается ! "),"")</f>
      </c>
      <c r="AD11" s="277">
        <f>IF(IF(ISNA(INDEX(СГИ!$P$3:$AI$22,VLOOKUP($N11,СГИ!$N$3:$O$22,2),HLOOKUP(AD$6,СГИ!$P$1:$AI$2,2))),"",INDEX(СГИ!$P$3:$AI$22,VLOOKUP($N11,СГИ!$N$3:$O$22,2),HLOOKUP(AD$6,СГИ!$P$1:$AI$2,2)))=1,CONCATENATE("при измерении ",$N11," ",AD$6," не допускается ! "),"")</f>
      </c>
      <c r="AE11" s="277">
        <f>IF(IF(ISNA(INDEX(СГИ!$P$3:$AI$22,VLOOKUP($N11,СГИ!$N$3:$O$22,2),HLOOKUP(AE$6,СГИ!$P$1:$AI$2,2))),"",INDEX(СГИ!$P$3:$AI$22,VLOOKUP($N11,СГИ!$N$3:$O$22,2),HLOOKUP(AE$6,СГИ!$P$1:$AI$2,2)))=1,CONCATENATE("при измерении ",$N11," ",AE$6," не допускается ! "),"")</f>
      </c>
      <c r="AF11" s="372">
        <f>IF(IF(ISNA(INDEX(СГИ!$P$3:$AI$22,VLOOKUP($N11,СГИ!$N$3:$O$22,2),HLOOKUP(AF$6,СГИ!$P$1:$AI$2,2))),"",INDEX(СГИ!$P$3:$AI$22,VLOOKUP($N11,СГИ!$N$3:$O$22,2),HLOOKUP(AF$6,СГИ!$P$1:$AI$2,2)))=1,CONCATENATE("при измерении ",$N11," ",AF$6," не допускается ! "),"")</f>
      </c>
      <c r="AG11">
        <f t="shared" si="1"/>
      </c>
    </row>
    <row r="12" spans="1:33" ht="28.5" customHeight="1" thickBot="1">
      <c r="A12" s="451"/>
      <c r="B12" s="289" t="s">
        <v>386</v>
      </c>
      <c r="C12" s="450"/>
      <c r="D12" s="369" t="str">
        <f aca="true" t="shared" si="3" ref="D12:D23">IF(SUM(C$7:C$21)&gt;4,"&lt;- сумма не должна быть более 4",IF(OR(C12=2,C12=3,C12=4,AND(C$11&gt;0,C12&gt;0)),"&lt;- уменьшите количество каналов",IF(OR(SUM(C$7:C$21)=4,AND(C$11=1,I$28=1)),"&lt;- дальнейший ввод невозможен",IF(C12=1,"","&lt;- введите данные, если необходимо"))))</f>
        <v>&lt;- введите данные, если необходимо</v>
      </c>
      <c r="E12"/>
      <c r="F12" s="903"/>
      <c r="G12" s="904" t="str">
        <f>IF(AND(NOT(G13="проверьте ввод данных")),"ЦЕНЫ без взрывозащиты, руб.:",IF(G13="проверьте ввод данных","ЦЕНЫ","ЦЕНЫ с взрывозащитой, руб.:"))</f>
        <v>ЦЕНЫ</v>
      </c>
      <c r="H12" s="896">
        <f t="shared" si="2"/>
      </c>
      <c r="I12" s="793">
        <f t="shared" si="0"/>
        <v>0</v>
      </c>
      <c r="J12" s="364"/>
      <c r="L12" s="806">
        <f>IF(C12&gt;0,ПГ!S12,"")</f>
      </c>
      <c r="N12" s="276">
        <f aca="true" t="shared" si="4" ref="N12:N25">MID(H12,2,9)</f>
      </c>
      <c r="O12" s="277">
        <f>IF(IF(ISNA(INDEX(СГИ!$P$3:$AI$22,VLOOKUP($N12,СГИ!$N$3:$O$22,2),HLOOKUP(O$6,СГИ!$P$1:$AI$2,2))),"",INDEX(СГИ!$P$3:$AI$22,VLOOKUP($N12,СГИ!$N$3:$O$22,2),HLOOKUP(O$6,СГИ!$P$1:$AI$2,2)))=1,CONCATENATE("при измерении ",$N12," ",O$6," не допускается ! "),"")</f>
      </c>
      <c r="P12" s="277">
        <f>IF(IF(ISNA(INDEX(СГИ!$P$3:$AI$22,VLOOKUP($N12,СГИ!$N$3:$O$22,2),HLOOKUP(P$6,СГИ!$P$1:$AI$2,2))),"",INDEX(СГИ!$P$3:$AI$22,VLOOKUP($N12,СГИ!$N$3:$O$22,2),HLOOKUP(P$6,СГИ!$P$1:$AI$2,2)))=1,CONCATENATE("при измерении ",$N12," ",P$6," не допускается ! "),"")</f>
      </c>
      <c r="Q12" s="277">
        <f>IF(IF(ISNA(INDEX(СГИ!$P$3:$AI$22,VLOOKUP($N12,СГИ!$N$3:$O$22,2),HLOOKUP(Q$6,СГИ!$P$1:$AI$2,2))),"",INDEX(СГИ!$P$3:$AI$22,VLOOKUP($N12,СГИ!$N$3:$O$22,2),HLOOKUP(Q$6,СГИ!$P$1:$AI$2,2)))=1,CONCATENATE("при измерении ",$N12," ",Q$6," не допускается ! "),"")</f>
      </c>
      <c r="R12" s="277">
        <f>IF(IF(ISNA(INDEX(СГИ!$P$3:$AI$22,VLOOKUP($N12,СГИ!$N$3:$O$22,2),HLOOKUP(R$6,СГИ!$P$1:$AI$2,2))),"",INDEX(СГИ!$P$3:$AI$22,VLOOKUP($N12,СГИ!$N$3:$O$22,2),HLOOKUP(R$6,СГИ!$P$1:$AI$2,2)))=1,CONCATENATE("при измерении ",$N12," ",R$6," не допускается ! "),"")</f>
      </c>
      <c r="S12" s="277">
        <f>IF(IF(ISNA(INDEX(СГИ!$P$3:$AI$22,VLOOKUP($N12,СГИ!$N$3:$O$22,2),HLOOKUP(S$6,СГИ!$P$1:$AI$2,2))),"",INDEX(СГИ!$P$3:$AI$22,VLOOKUP($N12,СГИ!$N$3:$O$22,2),HLOOKUP(S$6,СГИ!$P$1:$AI$2,2)))=1,CONCATENATE("при измерении ",$N12," ",S$6," не допускается ! "),"")</f>
      </c>
      <c r="T12" s="277">
        <f>IF(IF(ISNA(INDEX(СГИ!$P$3:$AI$22,VLOOKUP($N12,СГИ!$N$3:$O$22,2),HLOOKUP(T$6,СГИ!$P$1:$AI$2,2))),"",INDEX(СГИ!$P$3:$AI$22,VLOOKUP($N12,СГИ!$N$3:$O$22,2),HLOOKUP(T$6,СГИ!$P$1:$AI$2,2)))=1,CONCATENATE("при измерении ",$N12," ",T$6," не допускается ! "),"")</f>
      </c>
      <c r="U12" s="277">
        <f>IF(IF(ISNA(INDEX(СГИ!$P$3:$AI$22,VLOOKUP($N12,СГИ!$N$3:$O$22,2),HLOOKUP(U$6,СГИ!$P$1:$AI$2,2))),"",INDEX(СГИ!$P$3:$AI$22,VLOOKUP($N12,СГИ!$N$3:$O$22,2),HLOOKUP(U$6,СГИ!$P$1:$AI$2,2)))=1,CONCATENATE("при измерении ",$N12," ",U$6," не допускается ! "),"")</f>
      </c>
      <c r="V12" s="277">
        <f>IF(IF(ISNA(INDEX(СГИ!$P$3:$AI$22,VLOOKUP($N12,СГИ!$N$3:$O$22,2),HLOOKUP(V$6,СГИ!$P$1:$AI$2,2))),"",INDEX(СГИ!$P$3:$AI$22,VLOOKUP($N12,СГИ!$N$3:$O$22,2),HLOOKUP(V$6,СГИ!$P$1:$AI$2,2)))=1,CONCATENATE("при измерении ",$N12," ",V$6," не допускается ! "),"")</f>
      </c>
      <c r="W12" s="277">
        <f>IF(IF(ISNA(INDEX(СГИ!$P$3:$AI$22,VLOOKUP($N12,СГИ!$N$3:$O$22,2),HLOOKUP(W$6,СГИ!$P$1:$AI$2,2))),"",INDEX(СГИ!$P$3:$AI$22,VLOOKUP($N12,СГИ!$N$3:$O$22,2),HLOOKUP(W$6,СГИ!$P$1:$AI$2,2)))=1,CONCATENATE("при измерении ",$N12," ",W$6," не допускается ! "),"")</f>
      </c>
      <c r="X12" s="277">
        <f>IF(IF(ISNA(INDEX(СГИ!$P$3:$AI$22,VLOOKUP($N12,СГИ!$N$3:$O$22,2),HLOOKUP(X$6,СГИ!$P$1:$AI$2,2))),"",INDEX(СГИ!$P$3:$AI$22,VLOOKUP($N12,СГИ!$N$3:$O$22,2),HLOOKUP(X$6,СГИ!$P$1:$AI$2,2)))=1,CONCATENATE("при измерении ",$N12," ",X$6," не допускается ! "),"")</f>
      </c>
      <c r="Y12" s="277">
        <f>IF(IF(ISNA(INDEX(СГИ!$P$3:$AI$22,VLOOKUP($N12,СГИ!$N$3:$O$22,2),HLOOKUP(Y$6,СГИ!$P$1:$AI$2,2))),"",INDEX(СГИ!$P$3:$AI$22,VLOOKUP($N12,СГИ!$N$3:$O$22,2),HLOOKUP(Y$6,СГИ!$P$1:$AI$2,2)))=1,CONCATENATE("при измерении ",$N12," ",Y$6," не допускается ! "),"")</f>
      </c>
      <c r="Z12" s="277">
        <f>IF(IF(ISNA(INDEX(СГИ!$P$3:$AI$22,VLOOKUP($N12,СГИ!$N$3:$O$22,2),HLOOKUP(Z$6,СГИ!$P$1:$AI$2,2))),"",INDEX(СГИ!$P$3:$AI$22,VLOOKUP($N12,СГИ!$N$3:$O$22,2),HLOOKUP(Z$6,СГИ!$P$1:$AI$2,2)))=1,CONCATENATE("при измерении ",$N12," ",Z$6," не допускается ! "),"")</f>
      </c>
      <c r="AA12" s="277">
        <f>IF(IF(ISNA(INDEX(СГИ!$P$3:$AI$22,VLOOKUP($N12,СГИ!$N$3:$O$22,2),HLOOKUP(AA$6,СГИ!$P$1:$AI$2,2))),"",INDEX(СГИ!$P$3:$AI$22,VLOOKUP($N12,СГИ!$N$3:$O$22,2),HLOOKUP(AA$6,СГИ!$P$1:$AI$2,2)))=1,CONCATENATE("при измерении ",$N12," ",AA$6," не допускается ! "),"")</f>
      </c>
      <c r="AB12" s="277">
        <f>IF(IF(ISNA(INDEX(СГИ!$P$3:$AI$22,VLOOKUP($N12,СГИ!$N$3:$O$22,2),HLOOKUP(AB$6,СГИ!$P$1:$AI$2,2))),"",INDEX(СГИ!$P$3:$AI$22,VLOOKUP($N12,СГИ!$N$3:$O$22,2),HLOOKUP(AB$6,СГИ!$P$1:$AI$2,2)))=1,CONCATENATE("при измерении ",$N12," ",AB$6," не допускается ! "),"")</f>
      </c>
      <c r="AC12" s="277">
        <f>IF(IF(ISNA(INDEX(СГИ!$P$3:$AI$22,VLOOKUP($N12,СГИ!$N$3:$O$22,2),HLOOKUP(AC$6,СГИ!$P$1:$AI$2,2))),"",INDEX(СГИ!$P$3:$AI$22,VLOOKUP($N12,СГИ!$N$3:$O$22,2),HLOOKUP(AC$6,СГИ!$P$1:$AI$2,2)))=1,CONCATENATE("при измерении ",$N12," ",AC$6," не допускается ! "),"")</f>
      </c>
      <c r="AD12" s="277">
        <f>IF(IF(ISNA(INDEX(СГИ!$P$3:$AI$22,VLOOKUP($N12,СГИ!$N$3:$O$22,2),HLOOKUP(AD$6,СГИ!$P$1:$AI$2,2))),"",INDEX(СГИ!$P$3:$AI$22,VLOOKUP($N12,СГИ!$N$3:$O$22,2),HLOOKUP(AD$6,СГИ!$P$1:$AI$2,2)))=1,CONCATENATE("при измерении ",$N12," ",AD$6," не допускается ! "),"")</f>
      </c>
      <c r="AE12" s="277">
        <f>IF(IF(ISNA(INDEX(СГИ!$P$3:$AI$22,VLOOKUP($N12,СГИ!$N$3:$O$22,2),HLOOKUP(AE$6,СГИ!$P$1:$AI$2,2))),"",INDEX(СГИ!$P$3:$AI$22,VLOOKUP($N12,СГИ!$N$3:$O$22,2),HLOOKUP(AE$6,СГИ!$P$1:$AI$2,2)))=1,CONCATENATE("при измерении ",$N12," ",AE$6," не допускается ! "),"")</f>
      </c>
      <c r="AF12" s="372">
        <f>IF(IF(ISNA(INDEX(СГИ!$P$3:$AI$22,VLOOKUP($N12,СГИ!$N$3:$O$22,2),HLOOKUP(AF$6,СГИ!$P$1:$AI$2,2))),"",INDEX(СГИ!$P$3:$AI$22,VLOOKUP($N12,СГИ!$N$3:$O$22,2),HLOOKUP(AF$6,СГИ!$P$1:$AI$2,2)))=1,CONCATENATE("при измерении ",$N12," ",AF$6," не допускается ! "),"")</f>
      </c>
      <c r="AG12">
        <f t="shared" si="1"/>
      </c>
    </row>
    <row r="13" spans="1:33" ht="23.25" customHeight="1" thickBot="1">
      <c r="A13" s="451"/>
      <c r="B13" s="289" t="s">
        <v>388</v>
      </c>
      <c r="C13" s="818"/>
      <c r="D13" s="369" t="str">
        <f t="shared" si="3"/>
        <v>&lt;- введите данные, если необходимо</v>
      </c>
      <c r="E13"/>
      <c r="F13" s="861" t="s">
        <v>436</v>
      </c>
      <c r="G13" s="856" t="str">
        <f>IF(OR(G7="углеводороды не определяются селективно",G7="превышение числа каналов",G7="данные не введены"),"проверьте ввод данных",ROUND((MAX(L7:L23)+SUMPRODUCT(I7:I23,ПГ!R$7:R$23))+L27,-1))</f>
        <v>проверьте ввод данных</v>
      </c>
      <c r="H13" s="896">
        <f t="shared" si="2"/>
      </c>
      <c r="I13" s="793">
        <f t="shared" si="0"/>
        <v>0</v>
      </c>
      <c r="J13" s="364"/>
      <c r="L13" s="806">
        <f>IF(C13&gt;0,ПГ!S13,"")</f>
      </c>
      <c r="N13" s="276">
        <f t="shared" si="4"/>
      </c>
      <c r="O13" s="277">
        <f>IF(IF(ISNA(INDEX(СГИ!$P$3:$AI$22,VLOOKUP($N13,СГИ!$N$3:$O$22,2),HLOOKUP(O$6,СГИ!$P$1:$AI$2,2))),"",INDEX(СГИ!$P$3:$AI$22,VLOOKUP($N13,СГИ!$N$3:$O$22,2),HLOOKUP(O$6,СГИ!$P$1:$AI$2,2)))=1,CONCATENATE("при измерении ",$N13," ",O$6," не допускается ! "),"")</f>
      </c>
      <c r="P13" s="277">
        <f>IF(IF(ISNA(INDEX(СГИ!$P$3:$AI$22,VLOOKUP($N13,СГИ!$N$3:$O$22,2),HLOOKUP(P$6,СГИ!$P$1:$AI$2,2))),"",INDEX(СГИ!$P$3:$AI$22,VLOOKUP($N13,СГИ!$N$3:$O$22,2),HLOOKUP(P$6,СГИ!$P$1:$AI$2,2)))=1,CONCATENATE("при измерении ",$N13," ",P$6," не допускается ! "),"")</f>
      </c>
      <c r="Q13" s="277">
        <f>IF(IF(ISNA(INDEX(СГИ!$P$3:$AI$22,VLOOKUP($N13,СГИ!$N$3:$O$22,2),HLOOKUP(Q$6,СГИ!$P$1:$AI$2,2))),"",INDEX(СГИ!$P$3:$AI$22,VLOOKUP($N13,СГИ!$N$3:$O$22,2),HLOOKUP(Q$6,СГИ!$P$1:$AI$2,2)))=1,CONCATENATE("при измерении ",$N13," ",Q$6," не допускается ! "),"")</f>
      </c>
      <c r="R13" s="277">
        <f>IF(IF(ISNA(INDEX(СГИ!$P$3:$AI$22,VLOOKUP($N13,СГИ!$N$3:$O$22,2),HLOOKUP(R$6,СГИ!$P$1:$AI$2,2))),"",INDEX(СГИ!$P$3:$AI$22,VLOOKUP($N13,СГИ!$N$3:$O$22,2),HLOOKUP(R$6,СГИ!$P$1:$AI$2,2)))=1,CONCATENATE("при измерении ",$N13," ",R$6," не допускается ! "),"")</f>
      </c>
      <c r="S13" s="277">
        <f>IF(IF(ISNA(INDEX(СГИ!$P$3:$AI$22,VLOOKUP($N13,СГИ!$N$3:$O$22,2),HLOOKUP(S$6,СГИ!$P$1:$AI$2,2))),"",INDEX(СГИ!$P$3:$AI$22,VLOOKUP($N13,СГИ!$N$3:$O$22,2),HLOOKUP(S$6,СГИ!$P$1:$AI$2,2)))=1,CONCATENATE("при измерении ",$N13," ",S$6," не допускается ! "),"")</f>
      </c>
      <c r="T13" s="277">
        <f>IF(IF(ISNA(INDEX(СГИ!$P$3:$AI$22,VLOOKUP($N13,СГИ!$N$3:$O$22,2),HLOOKUP(T$6,СГИ!$P$1:$AI$2,2))),"",INDEX(СГИ!$P$3:$AI$22,VLOOKUP($N13,СГИ!$N$3:$O$22,2),HLOOKUP(T$6,СГИ!$P$1:$AI$2,2)))=1,CONCATENATE("при измерении ",$N13," ",T$6," не допускается ! "),"")</f>
      </c>
      <c r="U13" s="277">
        <f>IF(IF(ISNA(INDEX(СГИ!$P$3:$AI$22,VLOOKUP($N13,СГИ!$N$3:$O$22,2),HLOOKUP(U$6,СГИ!$P$1:$AI$2,2))),"",INDEX(СГИ!$P$3:$AI$22,VLOOKUP($N13,СГИ!$N$3:$O$22,2),HLOOKUP(U$6,СГИ!$P$1:$AI$2,2)))=1,CONCATENATE("при измерении ",$N13," ",U$6," не допускается ! "),"")</f>
      </c>
      <c r="V13" s="277">
        <f>IF(IF(ISNA(INDEX(СГИ!$P$3:$AI$22,VLOOKUP($N13,СГИ!$N$3:$O$22,2),HLOOKUP(V$6,СГИ!$P$1:$AI$2,2))),"",INDEX(СГИ!$P$3:$AI$22,VLOOKUP($N13,СГИ!$N$3:$O$22,2),HLOOKUP(V$6,СГИ!$P$1:$AI$2,2)))=1,CONCATENATE("при измерении ",$N13," ",V$6," не допускается ! "),"")</f>
      </c>
      <c r="W13" s="277">
        <f>IF(IF(ISNA(INDEX(СГИ!$P$3:$AI$22,VLOOKUP($N13,СГИ!$N$3:$O$22,2),HLOOKUP(W$6,СГИ!$P$1:$AI$2,2))),"",INDEX(СГИ!$P$3:$AI$22,VLOOKUP($N13,СГИ!$N$3:$O$22,2),HLOOKUP(W$6,СГИ!$P$1:$AI$2,2)))=1,CONCATENATE("при измерении ",$N13," ",W$6," не допускается ! "),"")</f>
      </c>
      <c r="X13" s="277">
        <f>IF(IF(ISNA(INDEX(СГИ!$P$3:$AI$22,VLOOKUP($N13,СГИ!$N$3:$O$22,2),HLOOKUP(X$6,СГИ!$P$1:$AI$2,2))),"",INDEX(СГИ!$P$3:$AI$22,VLOOKUP($N13,СГИ!$N$3:$O$22,2),HLOOKUP(X$6,СГИ!$P$1:$AI$2,2)))=1,CONCATENATE("при измерении ",$N13," ",X$6," не допускается ! "),"")</f>
      </c>
      <c r="Y13" s="277">
        <f>IF(IF(ISNA(INDEX(СГИ!$P$3:$AI$22,VLOOKUP($N13,СГИ!$N$3:$O$22,2),HLOOKUP(Y$6,СГИ!$P$1:$AI$2,2))),"",INDEX(СГИ!$P$3:$AI$22,VLOOKUP($N13,СГИ!$N$3:$O$22,2),HLOOKUP(Y$6,СГИ!$P$1:$AI$2,2)))=1,CONCATENATE("при измерении ",$N13," ",Y$6," не допускается ! "),"")</f>
      </c>
      <c r="Z13" s="277">
        <f>IF(IF(ISNA(INDEX(СГИ!$P$3:$AI$22,VLOOKUP($N13,СГИ!$N$3:$O$22,2),HLOOKUP(Z$6,СГИ!$P$1:$AI$2,2))),"",INDEX(СГИ!$P$3:$AI$22,VLOOKUP($N13,СГИ!$N$3:$O$22,2),HLOOKUP(Z$6,СГИ!$P$1:$AI$2,2)))=1,CONCATENATE("при измерении ",$N13," ",Z$6," не допускается ! "),"")</f>
      </c>
      <c r="AA13" s="277">
        <f>IF(IF(ISNA(INDEX(СГИ!$P$3:$AI$22,VLOOKUP($N13,СГИ!$N$3:$O$22,2),HLOOKUP(AA$6,СГИ!$P$1:$AI$2,2))),"",INDEX(СГИ!$P$3:$AI$22,VLOOKUP($N13,СГИ!$N$3:$O$22,2),HLOOKUP(AA$6,СГИ!$P$1:$AI$2,2)))=1,CONCATENATE("при измерении ",$N13," ",AA$6," не допускается ! "),"")</f>
      </c>
      <c r="AB13" s="277">
        <f>IF(IF(ISNA(INDEX(СГИ!$P$3:$AI$22,VLOOKUP($N13,СГИ!$N$3:$O$22,2),HLOOKUP(AB$6,СГИ!$P$1:$AI$2,2))),"",INDEX(СГИ!$P$3:$AI$22,VLOOKUP($N13,СГИ!$N$3:$O$22,2),HLOOKUP(AB$6,СГИ!$P$1:$AI$2,2)))=1,CONCATENATE("при измерении ",$N13," ",AB$6," не допускается ! "),"")</f>
      </c>
      <c r="AC13" s="277">
        <f>IF(IF(ISNA(INDEX(СГИ!$P$3:$AI$22,VLOOKUP($N13,СГИ!$N$3:$O$22,2),HLOOKUP(AC$6,СГИ!$P$1:$AI$2,2))),"",INDEX(СГИ!$P$3:$AI$22,VLOOKUP($N13,СГИ!$N$3:$O$22,2),HLOOKUP(AC$6,СГИ!$P$1:$AI$2,2)))=1,CONCATENATE("при измерении ",$N13," ",AC$6," не допускается ! "),"")</f>
      </c>
      <c r="AD13" s="277">
        <f>IF(IF(ISNA(INDEX(СГИ!$P$3:$AI$22,VLOOKUP($N13,СГИ!$N$3:$O$22,2),HLOOKUP(AD$6,СГИ!$P$1:$AI$2,2))),"",INDEX(СГИ!$P$3:$AI$22,VLOOKUP($N13,СГИ!$N$3:$O$22,2),HLOOKUP(AD$6,СГИ!$P$1:$AI$2,2)))=1,CONCATENATE("при измерении ",$N13," ",AD$6," не допускается ! "),"")</f>
      </c>
      <c r="AE13" s="277">
        <f>IF(IF(ISNA(INDEX(СГИ!$P$3:$AI$22,VLOOKUP($N13,СГИ!$N$3:$O$22,2),HLOOKUP(AE$6,СГИ!$P$1:$AI$2,2))),"",INDEX(СГИ!$P$3:$AI$22,VLOOKUP($N13,СГИ!$N$3:$O$22,2),HLOOKUP(AE$6,СГИ!$P$1:$AI$2,2)))=1,CONCATENATE("при измерении ",$N13," ",AE$6," не допускается ! "),"")</f>
      </c>
      <c r="AF13" s="372">
        <f>IF(IF(ISNA(INDEX(СГИ!$P$3:$AI$22,VLOOKUP($N13,СГИ!$N$3:$O$22,2),HLOOKUP(AF$6,СГИ!$P$1:$AI$2,2))),"",INDEX(СГИ!$P$3:$AI$22,VLOOKUP($N13,СГИ!$N$3:$O$22,2),HLOOKUP(AF$6,СГИ!$P$1:$AI$2,2)))=1,CONCATENATE("при измерении ",$N13," ",AF$6," не допускается ! "),"")</f>
      </c>
      <c r="AG13">
        <f t="shared" si="1"/>
      </c>
    </row>
    <row r="14" spans="1:33" ht="23.25" customHeight="1" thickBot="1">
      <c r="A14" s="821"/>
      <c r="B14" s="819" t="s">
        <v>36</v>
      </c>
      <c r="C14" s="820"/>
      <c r="D14" s="826" t="str">
        <f t="shared" si="3"/>
        <v>&lt;- введите данные, если необходимо</v>
      </c>
      <c r="E14"/>
      <c r="F14" s="863" t="s">
        <v>437</v>
      </c>
      <c r="G14" s="864" t="str">
        <f>IF(G13="проверьте ввод данных","--",SUM(G13:G13)*ПГ!B2)</f>
        <v>--</v>
      </c>
      <c r="H14" s="896">
        <f t="shared" si="2"/>
      </c>
      <c r="I14" s="793">
        <f t="shared" si="0"/>
        <v>0</v>
      </c>
      <c r="J14" s="364"/>
      <c r="L14" s="806">
        <f>IF(C14&gt;0,ПГ!S14,"")</f>
      </c>
      <c r="N14" s="276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372"/>
      <c r="AG14"/>
    </row>
    <row r="15" spans="1:33" ht="12.75" customHeight="1" thickBot="1">
      <c r="A15" s="451"/>
      <c r="B15" s="289" t="s">
        <v>136</v>
      </c>
      <c r="C15" s="822"/>
      <c r="D15" s="369" t="str">
        <f t="shared" si="3"/>
        <v>&lt;- введите данные, если необходимо</v>
      </c>
      <c r="E15"/>
      <c r="F15" s="865" t="s">
        <v>394</v>
      </c>
      <c r="G15" s="866" t="str">
        <f>IF(G13="проверьте ввод данных","--",SUM(G13:G14))</f>
        <v>--</v>
      </c>
      <c r="H15" s="896">
        <f t="shared" si="2"/>
      </c>
      <c r="I15" s="793">
        <f t="shared" si="0"/>
        <v>0</v>
      </c>
      <c r="J15" s="364"/>
      <c r="L15" s="806">
        <f>IF(C15&gt;0,ПГ!S15,"")</f>
      </c>
      <c r="N15" s="276">
        <f t="shared" si="4"/>
      </c>
      <c r="O15" s="277">
        <f>IF(IF(ISNA(INDEX(СГИ!$P$3:$AI$22,VLOOKUP($N15,СГИ!$N$3:$O$22,2),HLOOKUP(O$6,СГИ!$P$1:$AI$2,2))),"",INDEX(СГИ!$P$3:$AI$22,VLOOKUP($N15,СГИ!$N$3:$O$22,2),HLOOKUP(O$6,СГИ!$P$1:$AI$2,2)))=1,CONCATENATE("при измерении ",$N15," ",O$6," не допускается ! "),"")</f>
      </c>
      <c r="P15" s="277">
        <f>IF(IF(ISNA(INDEX(СГИ!$P$3:$AI$22,VLOOKUP($N15,СГИ!$N$3:$O$22,2),HLOOKUP(P$6,СГИ!$P$1:$AI$2,2))),"",INDEX(СГИ!$P$3:$AI$22,VLOOKUP($N15,СГИ!$N$3:$O$22,2),HLOOKUP(P$6,СГИ!$P$1:$AI$2,2)))=1,CONCATENATE("при измерении ",$N15," ",P$6," не допускается ! "),"")</f>
      </c>
      <c r="Q15" s="277">
        <f>IF(IF(ISNA(INDEX(СГИ!$P$3:$AI$22,VLOOKUP($N15,СГИ!$N$3:$O$22,2),HLOOKUP(Q$6,СГИ!$P$1:$AI$2,2))),"",INDEX(СГИ!$P$3:$AI$22,VLOOKUP($N15,СГИ!$N$3:$O$22,2),HLOOKUP(Q$6,СГИ!$P$1:$AI$2,2)))=1,CONCATENATE("при измерении ",$N15," ",Q$6," не допускается ! "),"")</f>
      </c>
      <c r="R15" s="277">
        <f>IF(IF(ISNA(INDEX(СГИ!$P$3:$AI$22,VLOOKUP($N15,СГИ!$N$3:$O$22,2),HLOOKUP(R$6,СГИ!$P$1:$AI$2,2))),"",INDEX(СГИ!$P$3:$AI$22,VLOOKUP($N15,СГИ!$N$3:$O$22,2),HLOOKUP(R$6,СГИ!$P$1:$AI$2,2)))=1,CONCATENATE("при измерении ",$N15," ",R$6," не допускается ! "),"")</f>
      </c>
      <c r="S15" s="277">
        <f>IF(IF(ISNA(INDEX(СГИ!$P$3:$AI$22,VLOOKUP($N15,СГИ!$N$3:$O$22,2),HLOOKUP(S$6,СГИ!$P$1:$AI$2,2))),"",INDEX(СГИ!$P$3:$AI$22,VLOOKUP($N15,СГИ!$N$3:$O$22,2),HLOOKUP(S$6,СГИ!$P$1:$AI$2,2)))=1,CONCATENATE("при измерении ",$N15," ",S$6," не допускается ! "),"")</f>
      </c>
      <c r="T15" s="277">
        <f>IF(IF(ISNA(INDEX(СГИ!$P$3:$AI$22,VLOOKUP($N15,СГИ!$N$3:$O$22,2),HLOOKUP(T$6,СГИ!$P$1:$AI$2,2))),"",INDEX(СГИ!$P$3:$AI$22,VLOOKUP($N15,СГИ!$N$3:$O$22,2),HLOOKUP(T$6,СГИ!$P$1:$AI$2,2)))=1,CONCATENATE("при измерении ",$N15," ",T$6," не допускается ! "),"")</f>
      </c>
      <c r="U15" s="277">
        <f>IF(IF(ISNA(INDEX(СГИ!$P$3:$AI$22,VLOOKUP($N15,СГИ!$N$3:$O$22,2),HLOOKUP(U$6,СГИ!$P$1:$AI$2,2))),"",INDEX(СГИ!$P$3:$AI$22,VLOOKUP($N15,СГИ!$N$3:$O$22,2),HLOOKUP(U$6,СГИ!$P$1:$AI$2,2)))=1,CONCATENATE("при измерении ",$N15," ",U$6," не допускается ! "),"")</f>
      </c>
      <c r="V15" s="277">
        <f>IF(IF(ISNA(INDEX(СГИ!$P$3:$AI$22,VLOOKUP($N15,СГИ!$N$3:$O$22,2),HLOOKUP(V$6,СГИ!$P$1:$AI$2,2))),"",INDEX(СГИ!$P$3:$AI$22,VLOOKUP($N15,СГИ!$N$3:$O$22,2),HLOOKUP(V$6,СГИ!$P$1:$AI$2,2)))=1,CONCATENATE("при измерении ",$N15," ",V$6," не допускается ! "),"")</f>
      </c>
      <c r="W15" s="277">
        <f>IF(IF(ISNA(INDEX(СГИ!$P$3:$AI$22,VLOOKUP($N15,СГИ!$N$3:$O$22,2),HLOOKUP(W$6,СГИ!$P$1:$AI$2,2))),"",INDEX(СГИ!$P$3:$AI$22,VLOOKUP($N15,СГИ!$N$3:$O$22,2),HLOOKUP(W$6,СГИ!$P$1:$AI$2,2)))=1,CONCATENATE("при измерении ",$N15," ",W$6," не допускается ! "),"")</f>
      </c>
      <c r="X15" s="277">
        <f>IF(IF(ISNA(INDEX(СГИ!$P$3:$AI$22,VLOOKUP($N15,СГИ!$N$3:$O$22,2),HLOOKUP(X$6,СГИ!$P$1:$AI$2,2))),"",INDEX(СГИ!$P$3:$AI$22,VLOOKUP($N15,СГИ!$N$3:$O$22,2),HLOOKUP(X$6,СГИ!$P$1:$AI$2,2)))=1,CONCATENATE("при измерении ",$N15," ",X$6," не допускается ! "),"")</f>
      </c>
      <c r="Y15" s="277">
        <f>IF(IF(ISNA(INDEX(СГИ!$P$3:$AI$22,VLOOKUP($N15,СГИ!$N$3:$O$22,2),HLOOKUP(Y$6,СГИ!$P$1:$AI$2,2))),"",INDEX(СГИ!$P$3:$AI$22,VLOOKUP($N15,СГИ!$N$3:$O$22,2),HLOOKUP(Y$6,СГИ!$P$1:$AI$2,2)))=1,CONCATENATE("при измерении ",$N15," ",Y$6," не допускается ! "),"")</f>
      </c>
      <c r="Z15" s="277">
        <f>IF(IF(ISNA(INDEX(СГИ!$P$3:$AI$22,VLOOKUP($N15,СГИ!$N$3:$O$22,2),HLOOKUP(Z$6,СГИ!$P$1:$AI$2,2))),"",INDEX(СГИ!$P$3:$AI$22,VLOOKUP($N15,СГИ!$N$3:$O$22,2),HLOOKUP(Z$6,СГИ!$P$1:$AI$2,2)))=1,CONCATENATE("при измерении ",$N15," ",Z$6," не допускается ! "),"")</f>
      </c>
      <c r="AA15" s="277">
        <f>IF(IF(ISNA(INDEX(СГИ!$P$3:$AI$22,VLOOKUP($N15,СГИ!$N$3:$O$22,2),HLOOKUP(AA$6,СГИ!$P$1:$AI$2,2))),"",INDEX(СГИ!$P$3:$AI$22,VLOOKUP($N15,СГИ!$N$3:$O$22,2),HLOOKUP(AA$6,СГИ!$P$1:$AI$2,2)))=1,CONCATENATE("при измерении ",$N15," ",AA$6," не допускается ! "),"")</f>
      </c>
      <c r="AB15" s="277">
        <f>IF(IF(ISNA(INDEX(СГИ!$P$3:$AI$22,VLOOKUP($N15,СГИ!$N$3:$O$22,2),HLOOKUP(AB$6,СГИ!$P$1:$AI$2,2))),"",INDEX(СГИ!$P$3:$AI$22,VLOOKUP($N15,СГИ!$N$3:$O$22,2),HLOOKUP(AB$6,СГИ!$P$1:$AI$2,2)))=1,CONCATENATE("при измерении ",$N15," ",AB$6," не допускается ! "),"")</f>
      </c>
      <c r="AC15" s="277">
        <f>IF(IF(ISNA(INDEX(СГИ!$P$3:$AI$22,VLOOKUP($N15,СГИ!$N$3:$O$22,2),HLOOKUP(AC$6,СГИ!$P$1:$AI$2,2))),"",INDEX(СГИ!$P$3:$AI$22,VLOOKUP($N15,СГИ!$N$3:$O$22,2),HLOOKUP(AC$6,СГИ!$P$1:$AI$2,2)))=1,CONCATENATE("при измерении ",$N15," ",AC$6," не допускается ! "),"")</f>
      </c>
      <c r="AD15" s="277">
        <f>IF(IF(ISNA(INDEX(СГИ!$P$3:$AI$22,VLOOKUP($N15,СГИ!$N$3:$O$22,2),HLOOKUP(AD$6,СГИ!$P$1:$AI$2,2))),"",INDEX(СГИ!$P$3:$AI$22,VLOOKUP($N15,СГИ!$N$3:$O$22,2),HLOOKUP(AD$6,СГИ!$P$1:$AI$2,2)))=1,CONCATENATE("при измерении ",$N15," ",AD$6," не допускается ! "),"")</f>
      </c>
      <c r="AE15" s="277">
        <f>IF(IF(ISNA(INDEX(СГИ!$P$3:$AI$22,VLOOKUP($N15,СГИ!$N$3:$O$22,2),HLOOKUP(AE$6,СГИ!$P$1:$AI$2,2))),"",INDEX(СГИ!$P$3:$AI$22,VLOOKUP($N15,СГИ!$N$3:$O$22,2),HLOOKUP(AE$6,СГИ!$P$1:$AI$2,2)))=1,CONCATENATE("при измерении ",$N15," ",AE$6," не допускается ! "),"")</f>
      </c>
      <c r="AF15" s="372">
        <f>IF(IF(ISNA(INDEX(СГИ!$P$3:$AI$22,VLOOKUP($N15,СГИ!$N$3:$O$22,2),HLOOKUP(AF$6,СГИ!$P$1:$AI$2,2))),"",INDEX(СГИ!$P$3:$AI$22,VLOOKUP($N15,СГИ!$N$3:$O$22,2),HLOOKUP(AF$6,СГИ!$P$1:$AI$2,2)))=1,CONCATENATE("при измерении ",$N15," ",AF$6," не допускается ! "),"")</f>
      </c>
      <c r="AG15">
        <f t="shared" si="1"/>
      </c>
    </row>
    <row r="16" spans="1:33" ht="12.75" customHeight="1" thickBot="1">
      <c r="A16" s="451"/>
      <c r="B16" s="289" t="s">
        <v>391</v>
      </c>
      <c r="C16" s="450"/>
      <c r="D16" s="369" t="str">
        <f t="shared" si="3"/>
        <v>&lt;- введите данные, если необходимо</v>
      </c>
      <c r="E16"/>
      <c r="F16" s="867"/>
      <c r="G16" s="868"/>
      <c r="H16" s="896">
        <f t="shared" si="2"/>
      </c>
      <c r="I16" s="793">
        <f t="shared" si="0"/>
        <v>0</v>
      </c>
      <c r="J16" s="364"/>
      <c r="L16" s="806">
        <f>IF(C16&gt;0,ПГ!S16,"")</f>
      </c>
      <c r="N16" s="276">
        <f t="shared" si="4"/>
      </c>
      <c r="O16" s="277">
        <f>IF(IF(ISNA(INDEX(СГИ!$P$3:$AI$22,VLOOKUP($N16,СГИ!$N$3:$O$22,2),HLOOKUP(O$6,СГИ!$P$1:$AI$2,2))),"",INDEX(СГИ!$P$3:$AI$22,VLOOKUP($N16,СГИ!$N$3:$O$22,2),HLOOKUP(O$6,СГИ!$P$1:$AI$2,2)))=1,CONCATENATE("при измерении ",$N16," ",O$6," не допускается ! "),"")</f>
      </c>
      <c r="P16" s="277">
        <f>IF(IF(ISNA(INDEX(СГИ!$P$3:$AI$22,VLOOKUP($N16,СГИ!$N$3:$O$22,2),HLOOKUP(P$6,СГИ!$P$1:$AI$2,2))),"",INDEX(СГИ!$P$3:$AI$22,VLOOKUP($N16,СГИ!$N$3:$O$22,2),HLOOKUP(P$6,СГИ!$P$1:$AI$2,2)))=1,CONCATENATE("при измерении ",$N16," ",P$6," не допускается ! "),"")</f>
      </c>
      <c r="Q16" s="277">
        <f>IF(IF(ISNA(INDEX(СГИ!$P$3:$AI$22,VLOOKUP($N16,СГИ!$N$3:$O$22,2),HLOOKUP(Q$6,СГИ!$P$1:$AI$2,2))),"",INDEX(СГИ!$P$3:$AI$22,VLOOKUP($N16,СГИ!$N$3:$O$22,2),HLOOKUP(Q$6,СГИ!$P$1:$AI$2,2)))=1,CONCATENATE("при измерении ",$N16," ",Q$6," не допускается ! "),"")</f>
      </c>
      <c r="R16" s="277">
        <f>IF(IF(ISNA(INDEX(СГИ!$P$3:$AI$22,VLOOKUP($N16,СГИ!$N$3:$O$22,2),HLOOKUP(R$6,СГИ!$P$1:$AI$2,2))),"",INDEX(СГИ!$P$3:$AI$22,VLOOKUP($N16,СГИ!$N$3:$O$22,2),HLOOKUP(R$6,СГИ!$P$1:$AI$2,2)))=1,CONCATENATE("при измерении ",$N16," ",R$6," не допускается ! "),"")</f>
      </c>
      <c r="S16" s="277">
        <f>IF(IF(ISNA(INDEX(СГИ!$P$3:$AI$22,VLOOKUP($N16,СГИ!$N$3:$O$22,2),HLOOKUP(S$6,СГИ!$P$1:$AI$2,2))),"",INDEX(СГИ!$P$3:$AI$22,VLOOKUP($N16,СГИ!$N$3:$O$22,2),HLOOKUP(S$6,СГИ!$P$1:$AI$2,2)))=1,CONCATENATE("при измерении ",$N16," ",S$6," не допускается ! "),"")</f>
      </c>
      <c r="T16" s="277">
        <f>IF(IF(ISNA(INDEX(СГИ!$P$3:$AI$22,VLOOKUP($N16,СГИ!$N$3:$O$22,2),HLOOKUP(T$6,СГИ!$P$1:$AI$2,2))),"",INDEX(СГИ!$P$3:$AI$22,VLOOKUP($N16,СГИ!$N$3:$O$22,2),HLOOKUP(T$6,СГИ!$P$1:$AI$2,2)))=1,CONCATENATE("при измерении ",$N16," ",T$6," не допускается ! "),"")</f>
      </c>
      <c r="U16" s="277">
        <f>IF(IF(ISNA(INDEX(СГИ!$P$3:$AI$22,VLOOKUP($N16,СГИ!$N$3:$O$22,2),HLOOKUP(U$6,СГИ!$P$1:$AI$2,2))),"",INDEX(СГИ!$P$3:$AI$22,VLOOKUP($N16,СГИ!$N$3:$O$22,2),HLOOKUP(U$6,СГИ!$P$1:$AI$2,2)))=1,CONCATENATE("при измерении ",$N16," ",U$6," не допускается ! "),"")</f>
      </c>
      <c r="V16" s="277">
        <f>IF(IF(ISNA(INDEX(СГИ!$P$3:$AI$22,VLOOKUP($N16,СГИ!$N$3:$O$22,2),HLOOKUP(V$6,СГИ!$P$1:$AI$2,2))),"",INDEX(СГИ!$P$3:$AI$22,VLOOKUP($N16,СГИ!$N$3:$O$22,2),HLOOKUP(V$6,СГИ!$P$1:$AI$2,2)))=1,CONCATENATE("при измерении ",$N16," ",V$6," не допускается ! "),"")</f>
      </c>
      <c r="W16" s="277">
        <f>IF(IF(ISNA(INDEX(СГИ!$P$3:$AI$22,VLOOKUP($N16,СГИ!$N$3:$O$22,2),HLOOKUP(W$6,СГИ!$P$1:$AI$2,2))),"",INDEX(СГИ!$P$3:$AI$22,VLOOKUP($N16,СГИ!$N$3:$O$22,2),HLOOKUP(W$6,СГИ!$P$1:$AI$2,2)))=1,CONCATENATE("при измерении ",$N16," ",W$6," не допускается ! "),"")</f>
      </c>
      <c r="X16" s="277">
        <f>IF(IF(ISNA(INDEX(СГИ!$P$3:$AI$22,VLOOKUP($N16,СГИ!$N$3:$O$22,2),HLOOKUP(X$6,СГИ!$P$1:$AI$2,2))),"",INDEX(СГИ!$P$3:$AI$22,VLOOKUP($N16,СГИ!$N$3:$O$22,2),HLOOKUP(X$6,СГИ!$P$1:$AI$2,2)))=1,CONCATENATE("при измерении ",$N16," ",X$6," не допускается ! "),"")</f>
      </c>
      <c r="Y16" s="277">
        <f>IF(IF(ISNA(INDEX(СГИ!$P$3:$AI$22,VLOOKUP($N16,СГИ!$N$3:$O$22,2),HLOOKUP(Y$6,СГИ!$P$1:$AI$2,2))),"",INDEX(СГИ!$P$3:$AI$22,VLOOKUP($N16,СГИ!$N$3:$O$22,2),HLOOKUP(Y$6,СГИ!$P$1:$AI$2,2)))=1,CONCATENATE("при измерении ",$N16," ",Y$6," не допускается ! "),"")</f>
      </c>
      <c r="Z16" s="277">
        <f>IF(IF(ISNA(INDEX(СГИ!$P$3:$AI$22,VLOOKUP($N16,СГИ!$N$3:$O$22,2),HLOOKUP(Z$6,СГИ!$P$1:$AI$2,2))),"",INDEX(СГИ!$P$3:$AI$22,VLOOKUP($N16,СГИ!$N$3:$O$22,2),HLOOKUP(Z$6,СГИ!$P$1:$AI$2,2)))=1,CONCATENATE("при измерении ",$N16," ",Z$6," не допускается ! "),"")</f>
      </c>
      <c r="AA16" s="277">
        <f>IF(IF(ISNA(INDEX(СГИ!$P$3:$AI$22,VLOOKUP($N16,СГИ!$N$3:$O$22,2),HLOOKUP(AA$6,СГИ!$P$1:$AI$2,2))),"",INDEX(СГИ!$P$3:$AI$22,VLOOKUP($N16,СГИ!$N$3:$O$22,2),HLOOKUP(AA$6,СГИ!$P$1:$AI$2,2)))=1,CONCATENATE("при измерении ",$N16," ",AA$6," не допускается ! "),"")</f>
      </c>
      <c r="AB16" s="277">
        <f>IF(IF(ISNA(INDEX(СГИ!$P$3:$AI$22,VLOOKUP($N16,СГИ!$N$3:$O$22,2),HLOOKUP(AB$6,СГИ!$P$1:$AI$2,2))),"",INDEX(СГИ!$P$3:$AI$22,VLOOKUP($N16,СГИ!$N$3:$O$22,2),HLOOKUP(AB$6,СГИ!$P$1:$AI$2,2)))=1,CONCATENATE("при измерении ",$N16," ",AB$6," не допускается ! "),"")</f>
      </c>
      <c r="AC16" s="277">
        <f>IF(IF(ISNA(INDEX(СГИ!$P$3:$AI$22,VLOOKUP($N16,СГИ!$N$3:$O$22,2),HLOOKUP(AC$6,СГИ!$P$1:$AI$2,2))),"",INDEX(СГИ!$P$3:$AI$22,VLOOKUP($N16,СГИ!$N$3:$O$22,2),HLOOKUP(AC$6,СГИ!$P$1:$AI$2,2)))=1,CONCATENATE("при измерении ",$N16," ",AC$6," не допускается ! "),"")</f>
      </c>
      <c r="AD16" s="277">
        <f>IF(IF(ISNA(INDEX(СГИ!$P$3:$AI$22,VLOOKUP($N16,СГИ!$N$3:$O$22,2),HLOOKUP(AD$6,СГИ!$P$1:$AI$2,2))),"",INDEX(СГИ!$P$3:$AI$22,VLOOKUP($N16,СГИ!$N$3:$O$22,2),HLOOKUP(AD$6,СГИ!$P$1:$AI$2,2)))=1,CONCATENATE("при измерении ",$N16," ",AD$6," не допускается ! "),"")</f>
      </c>
      <c r="AE16" s="277">
        <f>IF(IF(ISNA(INDEX(СГИ!$P$3:$AI$22,VLOOKUP($N16,СГИ!$N$3:$O$22,2),HLOOKUP(AE$6,СГИ!$P$1:$AI$2,2))),"",INDEX(СГИ!$P$3:$AI$22,VLOOKUP($N16,СГИ!$N$3:$O$22,2),HLOOKUP(AE$6,СГИ!$P$1:$AI$2,2)))=1,CONCATENATE("при измерении ",$N16," ",AE$6," не допускается ! "),"")</f>
      </c>
      <c r="AF16" s="372">
        <f>IF(IF(ISNA(INDEX(СГИ!$P$3:$AI$22,VLOOKUP($N16,СГИ!$N$3:$O$22,2),HLOOKUP(AF$6,СГИ!$P$1:$AI$2,2))),"",INDEX(СГИ!$P$3:$AI$22,VLOOKUP($N16,СГИ!$N$3:$O$22,2),HLOOKUP(AF$6,СГИ!$P$1:$AI$2,2)))=1,CONCATENATE("при измерении ",$N16," ",AF$6," не допускается ! "),"")</f>
      </c>
      <c r="AG16">
        <f t="shared" si="1"/>
      </c>
    </row>
    <row r="17" spans="1:33" ht="12.75" customHeight="1" thickBot="1">
      <c r="A17" s="451"/>
      <c r="B17" s="289" t="s">
        <v>393</v>
      </c>
      <c r="C17" s="450"/>
      <c r="D17" s="369" t="str">
        <f t="shared" si="3"/>
        <v>&lt;- введите данные, если необходимо</v>
      </c>
      <c r="E17"/>
      <c r="F17" s="880"/>
      <c r="G17" s="870" t="s">
        <v>438</v>
      </c>
      <c r="H17" s="896">
        <f t="shared" si="2"/>
      </c>
      <c r="I17" s="793">
        <f t="shared" si="0"/>
        <v>0</v>
      </c>
      <c r="J17" s="364"/>
      <c r="L17" s="806">
        <f>IF(C17&gt;0,ПГ!S17,"")</f>
      </c>
      <c r="N17" s="276">
        <f t="shared" si="4"/>
      </c>
      <c r="O17" s="277">
        <f>IF(IF(ISNA(INDEX(СГИ!$P$3:$AI$22,VLOOKUP($N17,СГИ!$N$3:$O$22,2),HLOOKUP(O$6,СГИ!$P$1:$AI$2,2))),"",INDEX(СГИ!$P$3:$AI$22,VLOOKUP($N17,СГИ!$N$3:$O$22,2),HLOOKUP(O$6,СГИ!$P$1:$AI$2,2)))=1,CONCATENATE("при измерении ",$N17," ",O$6," не допускается ! "),"")</f>
      </c>
      <c r="P17" s="277">
        <f>IF(IF(ISNA(INDEX(СГИ!$P$3:$AI$22,VLOOKUP($N17,СГИ!$N$3:$O$22,2),HLOOKUP(P$6,СГИ!$P$1:$AI$2,2))),"",INDEX(СГИ!$P$3:$AI$22,VLOOKUP($N17,СГИ!$N$3:$O$22,2),HLOOKUP(P$6,СГИ!$P$1:$AI$2,2)))=1,CONCATENATE("при измерении ",$N17," ",P$6," не допускается ! "),"")</f>
      </c>
      <c r="Q17" s="277">
        <f>IF(IF(ISNA(INDEX(СГИ!$P$3:$AI$22,VLOOKUP($N17,СГИ!$N$3:$O$22,2),HLOOKUP(Q$6,СГИ!$P$1:$AI$2,2))),"",INDEX(СГИ!$P$3:$AI$22,VLOOKUP($N17,СГИ!$N$3:$O$22,2),HLOOKUP(Q$6,СГИ!$P$1:$AI$2,2)))=1,CONCATENATE("при измерении ",$N17," ",Q$6," не допускается ! "),"")</f>
      </c>
      <c r="R17" s="277">
        <f>IF(IF(ISNA(INDEX(СГИ!$P$3:$AI$22,VLOOKUP($N17,СГИ!$N$3:$O$22,2),HLOOKUP(R$6,СГИ!$P$1:$AI$2,2))),"",INDEX(СГИ!$P$3:$AI$22,VLOOKUP($N17,СГИ!$N$3:$O$22,2),HLOOKUP(R$6,СГИ!$P$1:$AI$2,2)))=1,CONCATENATE("при измерении ",$N17," ",R$6," не допускается ! "),"")</f>
      </c>
      <c r="S17" s="277">
        <f>IF(IF(ISNA(INDEX(СГИ!$P$3:$AI$22,VLOOKUP($N17,СГИ!$N$3:$O$22,2),HLOOKUP(S$6,СГИ!$P$1:$AI$2,2))),"",INDEX(СГИ!$P$3:$AI$22,VLOOKUP($N17,СГИ!$N$3:$O$22,2),HLOOKUP(S$6,СГИ!$P$1:$AI$2,2)))=1,CONCATENATE("при измерении ",$N17," ",S$6," не допускается ! "),"")</f>
      </c>
      <c r="T17" s="277">
        <f>IF(IF(ISNA(INDEX(СГИ!$P$3:$AI$22,VLOOKUP($N17,СГИ!$N$3:$O$22,2),HLOOKUP(T$6,СГИ!$P$1:$AI$2,2))),"",INDEX(СГИ!$P$3:$AI$22,VLOOKUP($N17,СГИ!$N$3:$O$22,2),HLOOKUP(T$6,СГИ!$P$1:$AI$2,2)))=1,CONCATENATE("при измерении ",$N17," ",T$6," не допускается ! "),"")</f>
      </c>
      <c r="U17" s="277">
        <f>IF(IF(ISNA(INDEX(СГИ!$P$3:$AI$22,VLOOKUP($N17,СГИ!$N$3:$O$22,2),HLOOKUP(U$6,СГИ!$P$1:$AI$2,2))),"",INDEX(СГИ!$P$3:$AI$22,VLOOKUP($N17,СГИ!$N$3:$O$22,2),HLOOKUP(U$6,СГИ!$P$1:$AI$2,2)))=1,CONCATENATE("при измерении ",$N17," ",U$6," не допускается ! "),"")</f>
      </c>
      <c r="V17" s="277">
        <f>IF(IF(ISNA(INDEX(СГИ!$P$3:$AI$22,VLOOKUP($N17,СГИ!$N$3:$O$22,2),HLOOKUP(V$6,СГИ!$P$1:$AI$2,2))),"",INDEX(СГИ!$P$3:$AI$22,VLOOKUP($N17,СГИ!$N$3:$O$22,2),HLOOKUP(V$6,СГИ!$P$1:$AI$2,2)))=1,CONCATENATE("при измерении ",$N17," ",V$6," не допускается ! "),"")</f>
      </c>
      <c r="W17" s="277">
        <f>IF(IF(ISNA(INDEX(СГИ!$P$3:$AI$22,VLOOKUP($N17,СГИ!$N$3:$O$22,2),HLOOKUP(W$6,СГИ!$P$1:$AI$2,2))),"",INDEX(СГИ!$P$3:$AI$22,VLOOKUP($N17,СГИ!$N$3:$O$22,2),HLOOKUP(W$6,СГИ!$P$1:$AI$2,2)))=1,CONCATENATE("при измерении ",$N17," ",W$6," не допускается ! "),"")</f>
      </c>
      <c r="X17" s="277">
        <f>IF(IF(ISNA(INDEX(СГИ!$P$3:$AI$22,VLOOKUP($N17,СГИ!$N$3:$O$22,2),HLOOKUP(X$6,СГИ!$P$1:$AI$2,2))),"",INDEX(СГИ!$P$3:$AI$22,VLOOKUP($N17,СГИ!$N$3:$O$22,2),HLOOKUP(X$6,СГИ!$P$1:$AI$2,2)))=1,CONCATENATE("при измерении ",$N17," ",X$6," не допускается ! "),"")</f>
      </c>
      <c r="Y17" s="277">
        <f>IF(IF(ISNA(INDEX(СГИ!$P$3:$AI$22,VLOOKUP($N17,СГИ!$N$3:$O$22,2),HLOOKUP(Y$6,СГИ!$P$1:$AI$2,2))),"",INDEX(СГИ!$P$3:$AI$22,VLOOKUP($N17,СГИ!$N$3:$O$22,2),HLOOKUP(Y$6,СГИ!$P$1:$AI$2,2)))=1,CONCATENATE("при измерении ",$N17," ",Y$6," не допускается ! "),"")</f>
      </c>
      <c r="Z17" s="277">
        <f>IF(IF(ISNA(INDEX(СГИ!$P$3:$AI$22,VLOOKUP($N17,СГИ!$N$3:$O$22,2),HLOOKUP(Z$6,СГИ!$P$1:$AI$2,2))),"",INDEX(СГИ!$P$3:$AI$22,VLOOKUP($N17,СГИ!$N$3:$O$22,2),HLOOKUP(Z$6,СГИ!$P$1:$AI$2,2)))=1,CONCATENATE("при измерении ",$N17," ",Z$6," не допускается ! "),"")</f>
      </c>
      <c r="AA17" s="277">
        <f>IF(IF(ISNA(INDEX(СГИ!$P$3:$AI$22,VLOOKUP($N17,СГИ!$N$3:$O$22,2),HLOOKUP(AA$6,СГИ!$P$1:$AI$2,2))),"",INDEX(СГИ!$P$3:$AI$22,VLOOKUP($N17,СГИ!$N$3:$O$22,2),HLOOKUP(AA$6,СГИ!$P$1:$AI$2,2)))=1,CONCATENATE("при измерении ",$N17," ",AA$6," не допускается ! "),"")</f>
      </c>
      <c r="AB17" s="277">
        <f>IF(IF(ISNA(INDEX(СГИ!$P$3:$AI$22,VLOOKUP($N17,СГИ!$N$3:$O$22,2),HLOOKUP(AB$6,СГИ!$P$1:$AI$2,2))),"",INDEX(СГИ!$P$3:$AI$22,VLOOKUP($N17,СГИ!$N$3:$O$22,2),HLOOKUP(AB$6,СГИ!$P$1:$AI$2,2)))=1,CONCATENATE("при измерении ",$N17," ",AB$6," не допускается ! "),"")</f>
      </c>
      <c r="AC17" s="277">
        <f>IF(IF(ISNA(INDEX(СГИ!$P$3:$AI$22,VLOOKUP($N17,СГИ!$N$3:$O$22,2),HLOOKUP(AC$6,СГИ!$P$1:$AI$2,2))),"",INDEX(СГИ!$P$3:$AI$22,VLOOKUP($N17,СГИ!$N$3:$O$22,2),HLOOKUP(AC$6,СГИ!$P$1:$AI$2,2)))=1,CONCATENATE("при измерении ",$N17," ",AC$6," не допускается ! "),"")</f>
      </c>
      <c r="AD17" s="277">
        <f>IF(IF(ISNA(INDEX(СГИ!$P$3:$AI$22,VLOOKUP($N17,СГИ!$N$3:$O$22,2),HLOOKUP(AD$6,СГИ!$P$1:$AI$2,2))),"",INDEX(СГИ!$P$3:$AI$22,VLOOKUP($N17,СГИ!$N$3:$O$22,2),HLOOKUP(AD$6,СГИ!$P$1:$AI$2,2)))=1,CONCATENATE("при измерении ",$N17," ",AD$6," не допускается ! "),"")</f>
      </c>
      <c r="AE17" s="277">
        <f>IF(IF(ISNA(INDEX(СГИ!$P$3:$AI$22,VLOOKUP($N17,СГИ!$N$3:$O$22,2),HLOOKUP(AE$6,СГИ!$P$1:$AI$2,2))),"",INDEX(СГИ!$P$3:$AI$22,VLOOKUP($N17,СГИ!$N$3:$O$22,2),HLOOKUP(AE$6,СГИ!$P$1:$AI$2,2)))=1,CONCATENATE("при измерении ",$N17," ",AE$6," не допускается ! "),"")</f>
      </c>
      <c r="AF17" s="372">
        <f>IF(IF(ISNA(INDEX(СГИ!$P$3:$AI$22,VLOOKUP($N17,СГИ!$N$3:$O$22,2),HLOOKUP(AF$6,СГИ!$P$1:$AI$2,2))),"",INDEX(СГИ!$P$3:$AI$22,VLOOKUP($N17,СГИ!$N$3:$O$22,2),HLOOKUP(AF$6,СГИ!$P$1:$AI$2,2)))=1,CONCATENATE("при измерении ",$N17," ",AF$6," не допускается ! "),"")</f>
      </c>
      <c r="AG17">
        <f t="shared" si="1"/>
      </c>
    </row>
    <row r="18" spans="1:33" ht="12.75" customHeight="1" thickBot="1">
      <c r="A18" s="452"/>
      <c r="B18" s="289" t="s">
        <v>395</v>
      </c>
      <c r="C18" s="450"/>
      <c r="D18" s="369" t="str">
        <f t="shared" si="3"/>
        <v>&lt;- введите данные, если необходимо</v>
      </c>
      <c r="E18"/>
      <c r="F18" s="853" t="s">
        <v>400</v>
      </c>
      <c r="G18" s="864" t="str">
        <f>IF(G13="проверьте ввод данных","--",ROUND(SUM(G13:G13)*0.975,-1)*(1+ПГ!B2))</f>
        <v>--</v>
      </c>
      <c r="H18" s="896">
        <f t="shared" si="2"/>
      </c>
      <c r="I18" s="793">
        <f t="shared" si="0"/>
        <v>0</v>
      </c>
      <c r="J18" s="364"/>
      <c r="L18" s="806">
        <f>IF(C18&gt;0,ПГ!S18,"")</f>
      </c>
      <c r="N18" s="276">
        <f t="shared" si="4"/>
      </c>
      <c r="O18" s="277">
        <f>IF(IF(ISNA(INDEX(СГИ!$P$3:$AI$22,VLOOKUP($N18,СГИ!$N$3:$O$22,2),HLOOKUP(O$6,СГИ!$P$1:$AI$2,2))),"",INDEX(СГИ!$P$3:$AI$22,VLOOKUP($N18,СГИ!$N$3:$O$22,2),HLOOKUP(O$6,СГИ!$P$1:$AI$2,2)))=1,CONCATENATE("при измерении ",$N18," ",O$6," не допускается ! "),"")</f>
      </c>
      <c r="P18" s="277">
        <f>IF(IF(ISNA(INDEX(СГИ!$P$3:$AI$22,VLOOKUP($N18,СГИ!$N$3:$O$22,2),HLOOKUP(P$6,СГИ!$P$1:$AI$2,2))),"",INDEX(СГИ!$P$3:$AI$22,VLOOKUP($N18,СГИ!$N$3:$O$22,2),HLOOKUP(P$6,СГИ!$P$1:$AI$2,2)))=1,CONCATENATE("при измерении ",$N18," ",P$6," не допускается ! "),"")</f>
      </c>
      <c r="Q18" s="277">
        <f>IF(IF(ISNA(INDEX(СГИ!$P$3:$AI$22,VLOOKUP($N18,СГИ!$N$3:$O$22,2),HLOOKUP(Q$6,СГИ!$P$1:$AI$2,2))),"",INDEX(СГИ!$P$3:$AI$22,VLOOKUP($N18,СГИ!$N$3:$O$22,2),HLOOKUP(Q$6,СГИ!$P$1:$AI$2,2)))=1,CONCATENATE("при измерении ",$N18," ",Q$6," не допускается ! "),"")</f>
      </c>
      <c r="R18" s="277">
        <f>IF(IF(ISNA(INDEX(СГИ!$P$3:$AI$22,VLOOKUP($N18,СГИ!$N$3:$O$22,2),HLOOKUP(R$6,СГИ!$P$1:$AI$2,2))),"",INDEX(СГИ!$P$3:$AI$22,VLOOKUP($N18,СГИ!$N$3:$O$22,2),HLOOKUP(R$6,СГИ!$P$1:$AI$2,2)))=1,CONCATENATE("при измерении ",$N18," ",R$6," не допускается ! "),"")</f>
      </c>
      <c r="S18" s="277">
        <f>IF(IF(ISNA(INDEX(СГИ!$P$3:$AI$22,VLOOKUP($N18,СГИ!$N$3:$O$22,2),HLOOKUP(S$6,СГИ!$P$1:$AI$2,2))),"",INDEX(СГИ!$P$3:$AI$22,VLOOKUP($N18,СГИ!$N$3:$O$22,2),HLOOKUP(S$6,СГИ!$P$1:$AI$2,2)))=1,CONCATENATE("при измерении ",$N18," ",S$6," не допускается ! "),"")</f>
      </c>
      <c r="T18" s="277">
        <f>IF(IF(ISNA(INDEX(СГИ!$P$3:$AI$22,VLOOKUP($N18,СГИ!$N$3:$O$22,2),HLOOKUP(T$6,СГИ!$P$1:$AI$2,2))),"",INDEX(СГИ!$P$3:$AI$22,VLOOKUP($N18,СГИ!$N$3:$O$22,2),HLOOKUP(T$6,СГИ!$P$1:$AI$2,2)))=1,CONCATENATE("при измерении ",$N18," ",T$6," не допускается ! "),"")</f>
      </c>
      <c r="U18" s="277">
        <f>IF(IF(ISNA(INDEX(СГИ!$P$3:$AI$22,VLOOKUP($N18,СГИ!$N$3:$O$22,2),HLOOKUP(U$6,СГИ!$P$1:$AI$2,2))),"",INDEX(СГИ!$P$3:$AI$22,VLOOKUP($N18,СГИ!$N$3:$O$22,2),HLOOKUP(U$6,СГИ!$P$1:$AI$2,2)))=1,CONCATENATE("при измерении ",$N18," ",U$6," не допускается ! "),"")</f>
      </c>
      <c r="V18" s="277">
        <f>IF(IF(ISNA(INDEX(СГИ!$P$3:$AI$22,VLOOKUP($N18,СГИ!$N$3:$O$22,2),HLOOKUP(V$6,СГИ!$P$1:$AI$2,2))),"",INDEX(СГИ!$P$3:$AI$22,VLOOKUP($N18,СГИ!$N$3:$O$22,2),HLOOKUP(V$6,СГИ!$P$1:$AI$2,2)))=1,CONCATENATE("при измерении ",$N18," ",V$6," не допускается ! "),"")</f>
      </c>
      <c r="W18" s="277">
        <f>IF(IF(ISNA(INDEX(СГИ!$P$3:$AI$22,VLOOKUP($N18,СГИ!$N$3:$O$22,2),HLOOKUP(W$6,СГИ!$P$1:$AI$2,2))),"",INDEX(СГИ!$P$3:$AI$22,VLOOKUP($N18,СГИ!$N$3:$O$22,2),HLOOKUP(W$6,СГИ!$P$1:$AI$2,2)))=1,CONCATENATE("при измерении ",$N18," ",W$6," не допускается ! "),"")</f>
      </c>
      <c r="X18" s="277">
        <f>IF(IF(ISNA(INDEX(СГИ!$P$3:$AI$22,VLOOKUP($N18,СГИ!$N$3:$O$22,2),HLOOKUP(X$6,СГИ!$P$1:$AI$2,2))),"",INDEX(СГИ!$P$3:$AI$22,VLOOKUP($N18,СГИ!$N$3:$O$22,2),HLOOKUP(X$6,СГИ!$P$1:$AI$2,2)))=1,CONCATENATE("при измерении ",$N18," ",X$6," не допускается ! "),"")</f>
      </c>
      <c r="Y18" s="277">
        <f>IF(IF(ISNA(INDEX(СГИ!$P$3:$AI$22,VLOOKUP($N18,СГИ!$N$3:$O$22,2),HLOOKUP(Y$6,СГИ!$P$1:$AI$2,2))),"",INDEX(СГИ!$P$3:$AI$22,VLOOKUP($N18,СГИ!$N$3:$O$22,2),HLOOKUP(Y$6,СГИ!$P$1:$AI$2,2)))=1,CONCATENATE("при измерении ",$N18," ",Y$6," не допускается ! "),"")</f>
      </c>
      <c r="Z18" s="277">
        <f>IF(IF(ISNA(INDEX(СГИ!$P$3:$AI$22,VLOOKUP($N18,СГИ!$N$3:$O$22,2),HLOOKUP(Z$6,СГИ!$P$1:$AI$2,2))),"",INDEX(СГИ!$P$3:$AI$22,VLOOKUP($N18,СГИ!$N$3:$O$22,2),HLOOKUP(Z$6,СГИ!$P$1:$AI$2,2)))=1,CONCATENATE("при измерении ",$N18," ",Z$6," не допускается ! "),"")</f>
      </c>
      <c r="AA18" s="277">
        <f>IF(IF(ISNA(INDEX(СГИ!$P$3:$AI$22,VLOOKUP($N18,СГИ!$N$3:$O$22,2),HLOOKUP(AA$6,СГИ!$P$1:$AI$2,2))),"",INDEX(СГИ!$P$3:$AI$22,VLOOKUP($N18,СГИ!$N$3:$O$22,2),HLOOKUP(AA$6,СГИ!$P$1:$AI$2,2)))=1,CONCATENATE("при измерении ",$N18," ",AA$6," не допускается ! "),"")</f>
      </c>
      <c r="AB18" s="277">
        <f>IF(IF(ISNA(INDEX(СГИ!$P$3:$AI$22,VLOOKUP($N18,СГИ!$N$3:$O$22,2),HLOOKUP(AB$6,СГИ!$P$1:$AI$2,2))),"",INDEX(СГИ!$P$3:$AI$22,VLOOKUP($N18,СГИ!$N$3:$O$22,2),HLOOKUP(AB$6,СГИ!$P$1:$AI$2,2)))=1,CONCATENATE("при измерении ",$N18," ",AB$6," не допускается ! "),"")</f>
      </c>
      <c r="AC18" s="277">
        <f>IF(IF(ISNA(INDEX(СГИ!$P$3:$AI$22,VLOOKUP($N18,СГИ!$N$3:$O$22,2),HLOOKUP(AC$6,СГИ!$P$1:$AI$2,2))),"",INDEX(СГИ!$P$3:$AI$22,VLOOKUP($N18,СГИ!$N$3:$O$22,2),HLOOKUP(AC$6,СГИ!$P$1:$AI$2,2)))=1,CONCATENATE("при измерении ",$N18," ",AC$6," не допускается ! "),"")</f>
      </c>
      <c r="AD18" s="277">
        <f>IF(IF(ISNA(INDEX(СГИ!$P$3:$AI$22,VLOOKUP($N18,СГИ!$N$3:$O$22,2),HLOOKUP(AD$6,СГИ!$P$1:$AI$2,2))),"",INDEX(СГИ!$P$3:$AI$22,VLOOKUP($N18,СГИ!$N$3:$O$22,2),HLOOKUP(AD$6,СГИ!$P$1:$AI$2,2)))=1,CONCATENATE("при измерении ",$N18," ",AD$6," не допускается ! "),"")</f>
      </c>
      <c r="AE18" s="277">
        <f>IF(IF(ISNA(INDEX(СГИ!$P$3:$AI$22,VLOOKUP($N18,СГИ!$N$3:$O$22,2),HLOOKUP(AE$6,СГИ!$P$1:$AI$2,2))),"",INDEX(СГИ!$P$3:$AI$22,VLOOKUP($N18,СГИ!$N$3:$O$22,2),HLOOKUP(AE$6,СГИ!$P$1:$AI$2,2)))=1,CONCATENATE("при измерении ",$N18," ",AE$6," не допускается ! "),"")</f>
      </c>
      <c r="AF18" s="372">
        <f>IF(IF(ISNA(INDEX(СГИ!$P$3:$AI$22,VLOOKUP($N18,СГИ!$N$3:$O$22,2),HLOOKUP(AF$6,СГИ!$P$1:$AI$2,2))),"",INDEX(СГИ!$P$3:$AI$22,VLOOKUP($N18,СГИ!$N$3:$O$22,2),HLOOKUP(AF$6,СГИ!$P$1:$AI$2,2)))=1,CONCATENATE("при измерении ",$N18," ",AF$6," не допускается ! "),"")</f>
      </c>
      <c r="AG18">
        <f t="shared" si="1"/>
      </c>
    </row>
    <row r="19" spans="1:33" ht="12.75" customHeight="1" thickBot="1">
      <c r="A19" s="451"/>
      <c r="B19" s="289" t="s">
        <v>396</v>
      </c>
      <c r="C19" s="450"/>
      <c r="D19" s="369" t="str">
        <f t="shared" si="3"/>
        <v>&lt;- введите данные, если необходимо</v>
      </c>
      <c r="E19"/>
      <c r="F19" s="853" t="s">
        <v>401</v>
      </c>
      <c r="G19" s="871" t="str">
        <f>IF(G13="проверьте ввод данных","--",ROUND(SUM(G13:G13)*0.95,-1)*(1+ПГ!B2))</f>
        <v>--</v>
      </c>
      <c r="H19" s="896">
        <f t="shared" si="2"/>
      </c>
      <c r="I19" s="793">
        <f t="shared" si="0"/>
        <v>0</v>
      </c>
      <c r="J19" s="364"/>
      <c r="L19" s="806">
        <f>IF(C19&gt;0,ПГ!S19,"")</f>
      </c>
      <c r="N19" s="276">
        <f t="shared" si="4"/>
      </c>
      <c r="O19" s="277">
        <f>IF(IF(ISNA(INDEX(СГИ!$P$3:$AI$22,VLOOKUP($N19,СГИ!$N$3:$O$22,2),HLOOKUP(O$6,СГИ!$P$1:$AI$2,2))),"",INDEX(СГИ!$P$3:$AI$22,VLOOKUP($N19,СГИ!$N$3:$O$22,2),HLOOKUP(O$6,СГИ!$P$1:$AI$2,2)))=1,CONCATENATE("при измерении ",$N19," ",O$6," не допускается ! "),"")</f>
      </c>
      <c r="P19" s="277">
        <f>IF(IF(ISNA(INDEX(СГИ!$P$3:$AI$22,VLOOKUP($N19,СГИ!$N$3:$O$22,2),HLOOKUP(P$6,СГИ!$P$1:$AI$2,2))),"",INDEX(СГИ!$P$3:$AI$22,VLOOKUP($N19,СГИ!$N$3:$O$22,2),HLOOKUP(P$6,СГИ!$P$1:$AI$2,2)))=1,CONCATENATE("при измерении ",$N19," ",P$6," не допускается ! "),"")</f>
      </c>
      <c r="Q19" s="277">
        <f>IF(IF(ISNA(INDEX(СГИ!$P$3:$AI$22,VLOOKUP($N19,СГИ!$N$3:$O$22,2),HLOOKUP(Q$6,СГИ!$P$1:$AI$2,2))),"",INDEX(СГИ!$P$3:$AI$22,VLOOKUP($N19,СГИ!$N$3:$O$22,2),HLOOKUP(Q$6,СГИ!$P$1:$AI$2,2)))=1,CONCATENATE("при измерении ",$N19," ",Q$6," не допускается ! "),"")</f>
      </c>
      <c r="R19" s="277">
        <f>IF(IF(ISNA(INDEX(СГИ!$P$3:$AI$22,VLOOKUP($N19,СГИ!$N$3:$O$22,2),HLOOKUP(R$6,СГИ!$P$1:$AI$2,2))),"",INDEX(СГИ!$P$3:$AI$22,VLOOKUP($N19,СГИ!$N$3:$O$22,2),HLOOKUP(R$6,СГИ!$P$1:$AI$2,2)))=1,CONCATENATE("при измерении ",$N19," ",R$6," не допускается ! "),"")</f>
      </c>
      <c r="S19" s="277">
        <f>IF(IF(ISNA(INDEX(СГИ!$P$3:$AI$22,VLOOKUP($N19,СГИ!$N$3:$O$22,2),HLOOKUP(S$6,СГИ!$P$1:$AI$2,2))),"",INDEX(СГИ!$P$3:$AI$22,VLOOKUP($N19,СГИ!$N$3:$O$22,2),HLOOKUP(S$6,СГИ!$P$1:$AI$2,2)))=1,CONCATENATE("при измерении ",$N19," ",S$6," не допускается ! "),"")</f>
      </c>
      <c r="T19" s="277">
        <f>IF(IF(ISNA(INDEX(СГИ!$P$3:$AI$22,VLOOKUP($N19,СГИ!$N$3:$O$22,2),HLOOKUP(T$6,СГИ!$P$1:$AI$2,2))),"",INDEX(СГИ!$P$3:$AI$22,VLOOKUP($N19,СГИ!$N$3:$O$22,2),HLOOKUP(T$6,СГИ!$P$1:$AI$2,2)))=1,CONCATENATE("при измерении ",$N19," ",T$6," не допускается ! "),"")</f>
      </c>
      <c r="U19" s="277">
        <f>IF(IF(ISNA(INDEX(СГИ!$P$3:$AI$22,VLOOKUP($N19,СГИ!$N$3:$O$22,2),HLOOKUP(U$6,СГИ!$P$1:$AI$2,2))),"",INDEX(СГИ!$P$3:$AI$22,VLOOKUP($N19,СГИ!$N$3:$O$22,2),HLOOKUP(U$6,СГИ!$P$1:$AI$2,2)))=1,CONCATENATE("при измерении ",$N19," ",U$6," не допускается ! "),"")</f>
      </c>
      <c r="V19" s="277">
        <f>IF(IF(ISNA(INDEX(СГИ!$P$3:$AI$22,VLOOKUP($N19,СГИ!$N$3:$O$22,2),HLOOKUP(V$6,СГИ!$P$1:$AI$2,2))),"",INDEX(СГИ!$P$3:$AI$22,VLOOKUP($N19,СГИ!$N$3:$O$22,2),HLOOKUP(V$6,СГИ!$P$1:$AI$2,2)))=1,CONCATENATE("при измерении ",$N19," ",V$6," не допускается ! "),"")</f>
      </c>
      <c r="W19" s="277">
        <f>IF(IF(ISNA(INDEX(СГИ!$P$3:$AI$22,VLOOKUP($N19,СГИ!$N$3:$O$22,2),HLOOKUP(W$6,СГИ!$P$1:$AI$2,2))),"",INDEX(СГИ!$P$3:$AI$22,VLOOKUP($N19,СГИ!$N$3:$O$22,2),HLOOKUP(W$6,СГИ!$P$1:$AI$2,2)))=1,CONCATENATE("при измерении ",$N19," ",W$6," не допускается ! "),"")</f>
      </c>
      <c r="X19" s="277">
        <f>IF(IF(ISNA(INDEX(СГИ!$P$3:$AI$22,VLOOKUP($N19,СГИ!$N$3:$O$22,2),HLOOKUP(X$6,СГИ!$P$1:$AI$2,2))),"",INDEX(СГИ!$P$3:$AI$22,VLOOKUP($N19,СГИ!$N$3:$O$22,2),HLOOKUP(X$6,СГИ!$P$1:$AI$2,2)))=1,CONCATENATE("при измерении ",$N19," ",X$6," не допускается ! "),"")</f>
      </c>
      <c r="Y19" s="277">
        <f>IF(IF(ISNA(INDEX(СГИ!$P$3:$AI$22,VLOOKUP($N19,СГИ!$N$3:$O$22,2),HLOOKUP(Y$6,СГИ!$P$1:$AI$2,2))),"",INDEX(СГИ!$P$3:$AI$22,VLOOKUP($N19,СГИ!$N$3:$O$22,2),HLOOKUP(Y$6,СГИ!$P$1:$AI$2,2)))=1,CONCATENATE("при измерении ",$N19," ",Y$6," не допускается ! "),"")</f>
      </c>
      <c r="Z19" s="277">
        <f>IF(IF(ISNA(INDEX(СГИ!$P$3:$AI$22,VLOOKUP($N19,СГИ!$N$3:$O$22,2),HLOOKUP(Z$6,СГИ!$P$1:$AI$2,2))),"",INDEX(СГИ!$P$3:$AI$22,VLOOKUP($N19,СГИ!$N$3:$O$22,2),HLOOKUP(Z$6,СГИ!$P$1:$AI$2,2)))=1,CONCATENATE("при измерении ",$N19," ",Z$6," не допускается ! "),"")</f>
      </c>
      <c r="AA19" s="277">
        <f>IF(IF(ISNA(INDEX(СГИ!$P$3:$AI$22,VLOOKUP($N19,СГИ!$N$3:$O$22,2),HLOOKUP(AA$6,СГИ!$P$1:$AI$2,2))),"",INDEX(СГИ!$P$3:$AI$22,VLOOKUP($N19,СГИ!$N$3:$O$22,2),HLOOKUP(AA$6,СГИ!$P$1:$AI$2,2)))=1,CONCATENATE("при измерении ",$N19," ",AA$6," не допускается ! "),"")</f>
      </c>
      <c r="AB19" s="277">
        <f>IF(IF(ISNA(INDEX(СГИ!$P$3:$AI$22,VLOOKUP($N19,СГИ!$N$3:$O$22,2),HLOOKUP(AB$6,СГИ!$P$1:$AI$2,2))),"",INDEX(СГИ!$P$3:$AI$22,VLOOKUP($N19,СГИ!$N$3:$O$22,2),HLOOKUP(AB$6,СГИ!$P$1:$AI$2,2)))=1,CONCATENATE("при измерении ",$N19," ",AB$6," не допускается ! "),"")</f>
      </c>
      <c r="AC19" s="277">
        <f>IF(IF(ISNA(INDEX(СГИ!$P$3:$AI$22,VLOOKUP($N19,СГИ!$N$3:$O$22,2),HLOOKUP(AC$6,СГИ!$P$1:$AI$2,2))),"",INDEX(СГИ!$P$3:$AI$22,VLOOKUP($N19,СГИ!$N$3:$O$22,2),HLOOKUP(AC$6,СГИ!$P$1:$AI$2,2)))=1,CONCATENATE("при измерении ",$N19," ",AC$6," не допускается ! "),"")</f>
      </c>
      <c r="AD19" s="277">
        <f>IF(IF(ISNA(INDEX(СГИ!$P$3:$AI$22,VLOOKUP($N19,СГИ!$N$3:$O$22,2),HLOOKUP(AD$6,СГИ!$P$1:$AI$2,2))),"",INDEX(СГИ!$P$3:$AI$22,VLOOKUP($N19,СГИ!$N$3:$O$22,2),HLOOKUP(AD$6,СГИ!$P$1:$AI$2,2)))=1,CONCATENATE("при измерении ",$N19," ",AD$6," не допускается ! "),"")</f>
      </c>
      <c r="AE19" s="277">
        <f>IF(IF(ISNA(INDEX(СГИ!$P$3:$AI$22,VLOOKUP($N19,СГИ!$N$3:$O$22,2),HLOOKUP(AE$6,СГИ!$P$1:$AI$2,2))),"",INDEX(СГИ!$P$3:$AI$22,VLOOKUP($N19,СГИ!$N$3:$O$22,2),HLOOKUP(AE$6,СГИ!$P$1:$AI$2,2)))=1,CONCATENATE("при измерении ",$N19," ",AE$6," не допускается ! "),"")</f>
      </c>
      <c r="AF19" s="372">
        <f>IF(IF(ISNA(INDEX(СГИ!$P$3:$AI$22,VLOOKUP($N19,СГИ!$N$3:$O$22,2),HLOOKUP(AF$6,СГИ!$P$1:$AI$2,2))),"",INDEX(СГИ!$P$3:$AI$22,VLOOKUP($N19,СГИ!$N$3:$O$22,2),HLOOKUP(AF$6,СГИ!$P$1:$AI$2,2)))=1,CONCATENATE("при измерении ",$N19," ",AF$6," не допускается ! "),"")</f>
      </c>
      <c r="AG19">
        <f t="shared" si="1"/>
      </c>
    </row>
    <row r="20" spans="1:33" ht="12.75" customHeight="1" thickBot="1">
      <c r="A20" s="451"/>
      <c r="B20" s="289" t="s">
        <v>398</v>
      </c>
      <c r="C20" s="450"/>
      <c r="D20" s="369" t="str">
        <f t="shared" si="3"/>
        <v>&lt;- введите данные, если необходимо</v>
      </c>
      <c r="E20"/>
      <c r="F20" s="867"/>
      <c r="G20" s="868"/>
      <c r="H20" s="896">
        <f t="shared" si="2"/>
      </c>
      <c r="I20" s="793">
        <f t="shared" si="0"/>
        <v>0</v>
      </c>
      <c r="J20" s="364"/>
      <c r="L20" s="806">
        <f>IF(C20&gt;0,ПГ!S20,"")</f>
      </c>
      <c r="N20" s="276">
        <f t="shared" si="4"/>
      </c>
      <c r="O20" s="277">
        <f>IF(IF(ISNA(INDEX(СГИ!$P$3:$AI$22,VLOOKUP($N20,СГИ!$N$3:$O$22,2),HLOOKUP(O$6,СГИ!$P$1:$AI$2,2))),"",INDEX(СГИ!$P$3:$AI$22,VLOOKUP($N20,СГИ!$N$3:$O$22,2),HLOOKUP(O$6,СГИ!$P$1:$AI$2,2)))=1,CONCATENATE("при измерении ",$N20," ",O$6," не допускается ! "),"")</f>
      </c>
      <c r="P20" s="277">
        <f>IF(IF(ISNA(INDEX(СГИ!$P$3:$AI$22,VLOOKUP($N20,СГИ!$N$3:$O$22,2),HLOOKUP(P$6,СГИ!$P$1:$AI$2,2))),"",INDEX(СГИ!$P$3:$AI$22,VLOOKUP($N20,СГИ!$N$3:$O$22,2),HLOOKUP(P$6,СГИ!$P$1:$AI$2,2)))=1,CONCATENATE("при измерении ",$N20," ",P$6," не допускается ! "),"")</f>
      </c>
      <c r="Q20" s="277">
        <f>IF(IF(ISNA(INDEX(СГИ!$P$3:$AI$22,VLOOKUP($N20,СГИ!$N$3:$O$22,2),HLOOKUP(Q$6,СГИ!$P$1:$AI$2,2))),"",INDEX(СГИ!$P$3:$AI$22,VLOOKUP($N20,СГИ!$N$3:$O$22,2),HLOOKUP(Q$6,СГИ!$P$1:$AI$2,2)))=1,CONCATENATE("при измерении ",$N20," ",Q$6," не допускается ! "),"")</f>
      </c>
      <c r="R20" s="277">
        <f>IF(IF(ISNA(INDEX(СГИ!$P$3:$AI$22,VLOOKUP($N20,СГИ!$N$3:$O$22,2),HLOOKUP(R$6,СГИ!$P$1:$AI$2,2))),"",INDEX(СГИ!$P$3:$AI$22,VLOOKUP($N20,СГИ!$N$3:$O$22,2),HLOOKUP(R$6,СГИ!$P$1:$AI$2,2)))=1,CONCATENATE("при измерении ",$N20," ",R$6," не допускается ! "),"")</f>
      </c>
      <c r="S20" s="277">
        <f>IF(IF(ISNA(INDEX(СГИ!$P$3:$AI$22,VLOOKUP($N20,СГИ!$N$3:$O$22,2),HLOOKUP(S$6,СГИ!$P$1:$AI$2,2))),"",INDEX(СГИ!$P$3:$AI$22,VLOOKUP($N20,СГИ!$N$3:$O$22,2),HLOOKUP(S$6,СГИ!$P$1:$AI$2,2)))=1,CONCATENATE("при измерении ",$N20," ",S$6," не допускается ! "),"")</f>
      </c>
      <c r="T20" s="277">
        <f>IF(IF(ISNA(INDEX(СГИ!$P$3:$AI$22,VLOOKUP($N20,СГИ!$N$3:$O$22,2),HLOOKUP(T$6,СГИ!$P$1:$AI$2,2))),"",INDEX(СГИ!$P$3:$AI$22,VLOOKUP($N20,СГИ!$N$3:$O$22,2),HLOOKUP(T$6,СГИ!$P$1:$AI$2,2)))=1,CONCATENATE("при измерении ",$N20," ",T$6," не допускается ! "),"")</f>
      </c>
      <c r="U20" s="277">
        <f>IF(IF(ISNA(INDEX(СГИ!$P$3:$AI$22,VLOOKUP($N20,СГИ!$N$3:$O$22,2),HLOOKUP(U$6,СГИ!$P$1:$AI$2,2))),"",INDEX(СГИ!$P$3:$AI$22,VLOOKUP($N20,СГИ!$N$3:$O$22,2),HLOOKUP(U$6,СГИ!$P$1:$AI$2,2)))=1,CONCATENATE("при измерении ",$N20," ",U$6," не допускается ! "),"")</f>
      </c>
      <c r="V20" s="277">
        <f>IF(IF(ISNA(INDEX(СГИ!$P$3:$AI$22,VLOOKUP($N20,СГИ!$N$3:$O$22,2),HLOOKUP(V$6,СГИ!$P$1:$AI$2,2))),"",INDEX(СГИ!$P$3:$AI$22,VLOOKUP($N20,СГИ!$N$3:$O$22,2),HLOOKUP(V$6,СГИ!$P$1:$AI$2,2)))=1,CONCATENATE("при измерении ",$N20," ",V$6," не допускается ! "),"")</f>
      </c>
      <c r="W20" s="277">
        <f>IF(IF(ISNA(INDEX(СГИ!$P$3:$AI$22,VLOOKUP($N20,СГИ!$N$3:$O$22,2),HLOOKUP(W$6,СГИ!$P$1:$AI$2,2))),"",INDEX(СГИ!$P$3:$AI$22,VLOOKUP($N20,СГИ!$N$3:$O$22,2),HLOOKUP(W$6,СГИ!$P$1:$AI$2,2)))=1,CONCATENATE("при измерении ",$N20," ",W$6," не допускается ! "),"")</f>
      </c>
      <c r="X20" s="277">
        <f>IF(IF(ISNA(INDEX(СГИ!$P$3:$AI$22,VLOOKUP($N20,СГИ!$N$3:$O$22,2),HLOOKUP(X$6,СГИ!$P$1:$AI$2,2))),"",INDEX(СГИ!$P$3:$AI$22,VLOOKUP($N20,СГИ!$N$3:$O$22,2),HLOOKUP(X$6,СГИ!$P$1:$AI$2,2)))=1,CONCATENATE("при измерении ",$N20," ",X$6," не допускается ! "),"")</f>
      </c>
      <c r="Y20" s="277">
        <f>IF(IF(ISNA(INDEX(СГИ!$P$3:$AI$22,VLOOKUP($N20,СГИ!$N$3:$O$22,2),HLOOKUP(Y$6,СГИ!$P$1:$AI$2,2))),"",INDEX(СГИ!$P$3:$AI$22,VLOOKUP($N20,СГИ!$N$3:$O$22,2),HLOOKUP(Y$6,СГИ!$P$1:$AI$2,2)))=1,CONCATENATE("при измерении ",$N20," ",Y$6," не допускается ! "),"")</f>
      </c>
      <c r="Z20" s="277">
        <f>IF(IF(ISNA(INDEX(СГИ!$P$3:$AI$22,VLOOKUP($N20,СГИ!$N$3:$O$22,2),HLOOKUP(Z$6,СГИ!$P$1:$AI$2,2))),"",INDEX(СГИ!$P$3:$AI$22,VLOOKUP($N20,СГИ!$N$3:$O$22,2),HLOOKUP(Z$6,СГИ!$P$1:$AI$2,2)))=1,CONCATENATE("при измерении ",$N20," ",Z$6," не допускается ! "),"")</f>
      </c>
      <c r="AA20" s="277">
        <f>IF(IF(ISNA(INDEX(СГИ!$P$3:$AI$22,VLOOKUP($N20,СГИ!$N$3:$O$22,2),HLOOKUP(AA$6,СГИ!$P$1:$AI$2,2))),"",INDEX(СГИ!$P$3:$AI$22,VLOOKUP($N20,СГИ!$N$3:$O$22,2),HLOOKUP(AA$6,СГИ!$P$1:$AI$2,2)))=1,CONCATENATE("при измерении ",$N20," ",AA$6," не допускается ! "),"")</f>
      </c>
      <c r="AB20" s="277">
        <f>IF(IF(ISNA(INDEX(СГИ!$P$3:$AI$22,VLOOKUP($N20,СГИ!$N$3:$O$22,2),HLOOKUP(AB$6,СГИ!$P$1:$AI$2,2))),"",INDEX(СГИ!$P$3:$AI$22,VLOOKUP($N20,СГИ!$N$3:$O$22,2),HLOOKUP(AB$6,СГИ!$P$1:$AI$2,2)))=1,CONCATENATE("при измерении ",$N20," ",AB$6," не допускается ! "),"")</f>
      </c>
      <c r="AC20" s="277">
        <f>IF(IF(ISNA(INDEX(СГИ!$P$3:$AI$22,VLOOKUP($N20,СГИ!$N$3:$O$22,2),HLOOKUP(AC$6,СГИ!$P$1:$AI$2,2))),"",INDEX(СГИ!$P$3:$AI$22,VLOOKUP($N20,СГИ!$N$3:$O$22,2),HLOOKUP(AC$6,СГИ!$P$1:$AI$2,2)))=1,CONCATENATE("при измерении ",$N20," ",AC$6," не допускается ! "),"")</f>
      </c>
      <c r="AD20" s="277">
        <f>IF(IF(ISNA(INDEX(СГИ!$P$3:$AI$22,VLOOKUP($N20,СГИ!$N$3:$O$22,2),HLOOKUP(AD$6,СГИ!$P$1:$AI$2,2))),"",INDEX(СГИ!$P$3:$AI$22,VLOOKUP($N20,СГИ!$N$3:$O$22,2),HLOOKUP(AD$6,СГИ!$P$1:$AI$2,2)))=1,CONCATENATE("при измерении ",$N20," ",AD$6," не допускается ! "),"")</f>
      </c>
      <c r="AE20" s="277">
        <f>IF(IF(ISNA(INDEX(СГИ!$P$3:$AI$22,VLOOKUP($N20,СГИ!$N$3:$O$22,2),HLOOKUP(AE$6,СГИ!$P$1:$AI$2,2))),"",INDEX(СГИ!$P$3:$AI$22,VLOOKUP($N20,СГИ!$N$3:$O$22,2),HLOOKUP(AE$6,СГИ!$P$1:$AI$2,2)))=1,CONCATENATE("при измерении ",$N20," ",AE$6," не допускается ! "),"")</f>
      </c>
      <c r="AF20" s="372">
        <f>IF(IF(ISNA(INDEX(СГИ!$P$3:$AI$22,VLOOKUP($N20,СГИ!$N$3:$O$22,2),HLOOKUP(AF$6,СГИ!$P$1:$AI$2,2))),"",INDEX(СГИ!$P$3:$AI$22,VLOOKUP($N20,СГИ!$N$3:$O$22,2),HLOOKUP(AF$6,СГИ!$P$1:$AI$2,2)))=1,CONCATENATE("при измерении ",$N20," ",AF$6," не допускается ! "),"")</f>
      </c>
      <c r="AG20">
        <f t="shared" si="1"/>
      </c>
    </row>
    <row r="21" spans="1:33" ht="12.75" customHeight="1" thickBot="1">
      <c r="A21" s="453"/>
      <c r="B21" s="454" t="s">
        <v>48</v>
      </c>
      <c r="C21" s="450"/>
      <c r="D21" s="369" t="str">
        <f t="shared" si="3"/>
        <v>&lt;- введите данные, если необходимо</v>
      </c>
      <c r="E21"/>
      <c r="F21" s="891" t="s">
        <v>405</v>
      </c>
      <c r="G21" s="870" t="s">
        <v>406</v>
      </c>
      <c r="H21" s="896">
        <f t="shared" si="2"/>
      </c>
      <c r="I21" s="793">
        <f t="shared" si="0"/>
        <v>0</v>
      </c>
      <c r="L21" s="806">
        <f>IF(C21&gt;0,ПГ!S21,"")</f>
      </c>
      <c r="N21" s="276">
        <f t="shared" si="4"/>
      </c>
      <c r="O21" s="277">
        <f>IF(IF(ISNA(INDEX(СГИ!$P$3:$AI$22,VLOOKUP($N21,СГИ!$N$3:$O$22,2),HLOOKUP(O$6,СГИ!$P$1:$AI$2,2))),"",INDEX(СГИ!$P$3:$AI$22,VLOOKUP($N21,СГИ!$N$3:$O$22,2),HLOOKUP(O$6,СГИ!$P$1:$AI$2,2)))=1,CONCATENATE("при измерении ",$N21," ",O$6," не допускается ! "),"")</f>
      </c>
      <c r="P21" s="277">
        <f>IF(IF(ISNA(INDEX(СГИ!$P$3:$AI$22,VLOOKUP($N21,СГИ!$N$3:$O$22,2),HLOOKUP(P$6,СГИ!$P$1:$AI$2,2))),"",INDEX(СГИ!$P$3:$AI$22,VLOOKUP($N21,СГИ!$N$3:$O$22,2),HLOOKUP(P$6,СГИ!$P$1:$AI$2,2)))=1,CONCATENATE("при измерении ",$N21," ",P$6," не допускается ! "),"")</f>
      </c>
      <c r="Q21" s="277">
        <f>IF(IF(ISNA(INDEX(СГИ!$P$3:$AI$22,VLOOKUP($N21,СГИ!$N$3:$O$22,2),HLOOKUP(Q$6,СГИ!$P$1:$AI$2,2))),"",INDEX(СГИ!$P$3:$AI$22,VLOOKUP($N21,СГИ!$N$3:$O$22,2),HLOOKUP(Q$6,СГИ!$P$1:$AI$2,2)))=1,CONCATENATE("при измерении ",$N21," ",Q$6," не допускается ! "),"")</f>
      </c>
      <c r="R21" s="277">
        <f>IF(IF(ISNA(INDEX(СГИ!$P$3:$AI$22,VLOOKUP($N21,СГИ!$N$3:$O$22,2),HLOOKUP(R$6,СГИ!$P$1:$AI$2,2))),"",INDEX(СГИ!$P$3:$AI$22,VLOOKUP($N21,СГИ!$N$3:$O$22,2),HLOOKUP(R$6,СГИ!$P$1:$AI$2,2)))=1,CONCATENATE("при измерении ",$N21," ",R$6," не допускается ! "),"")</f>
      </c>
      <c r="S21" s="277">
        <f>IF(IF(ISNA(INDEX(СГИ!$P$3:$AI$22,VLOOKUP($N21,СГИ!$N$3:$O$22,2),HLOOKUP(S$6,СГИ!$P$1:$AI$2,2))),"",INDEX(СГИ!$P$3:$AI$22,VLOOKUP($N21,СГИ!$N$3:$O$22,2),HLOOKUP(S$6,СГИ!$P$1:$AI$2,2)))=1,CONCATENATE("при измерении ",$N21," ",S$6," не допускается ! "),"")</f>
      </c>
      <c r="T21" s="277">
        <f>IF(IF(ISNA(INDEX(СГИ!$P$3:$AI$22,VLOOKUP($N21,СГИ!$N$3:$O$22,2),HLOOKUP(T$6,СГИ!$P$1:$AI$2,2))),"",INDEX(СГИ!$P$3:$AI$22,VLOOKUP($N21,СГИ!$N$3:$O$22,2),HLOOKUP(T$6,СГИ!$P$1:$AI$2,2)))=1,CONCATENATE("при измерении ",$N21," ",T$6," не допускается ! "),"")</f>
      </c>
      <c r="U21" s="277">
        <f>IF(IF(ISNA(INDEX(СГИ!$P$3:$AI$22,VLOOKUP($N21,СГИ!$N$3:$O$22,2),HLOOKUP(U$6,СГИ!$P$1:$AI$2,2))),"",INDEX(СГИ!$P$3:$AI$22,VLOOKUP($N21,СГИ!$N$3:$O$22,2),HLOOKUP(U$6,СГИ!$P$1:$AI$2,2)))=1,CONCATENATE("при измерении ",$N21," ",U$6," не допускается ! "),"")</f>
      </c>
      <c r="V21" s="277">
        <f>IF(IF(ISNA(INDEX(СГИ!$P$3:$AI$22,VLOOKUP($N21,СГИ!$N$3:$O$22,2),HLOOKUP(V$6,СГИ!$P$1:$AI$2,2))),"",INDEX(СГИ!$P$3:$AI$22,VLOOKUP($N21,СГИ!$N$3:$O$22,2),HLOOKUP(V$6,СГИ!$P$1:$AI$2,2)))=1,CONCATENATE("при измерении ",$N21," ",V$6," не допускается ! "),"")</f>
      </c>
      <c r="W21" s="277">
        <f>IF(IF(ISNA(INDEX(СГИ!$P$3:$AI$22,VLOOKUP($N21,СГИ!$N$3:$O$22,2),HLOOKUP(W$6,СГИ!$P$1:$AI$2,2))),"",INDEX(СГИ!$P$3:$AI$22,VLOOKUP($N21,СГИ!$N$3:$O$22,2),HLOOKUP(W$6,СГИ!$P$1:$AI$2,2)))=1,CONCATENATE("при измерении ",$N21," ",W$6," не допускается ! "),"")</f>
      </c>
      <c r="X21" s="277">
        <f>IF(IF(ISNA(INDEX(СГИ!$P$3:$AI$22,VLOOKUP($N21,СГИ!$N$3:$O$22,2),HLOOKUP(X$6,СГИ!$P$1:$AI$2,2))),"",INDEX(СГИ!$P$3:$AI$22,VLOOKUP($N21,СГИ!$N$3:$O$22,2),HLOOKUP(X$6,СГИ!$P$1:$AI$2,2)))=1,CONCATENATE("при измерении ",$N21," ",X$6," не допускается ! "),"")</f>
      </c>
      <c r="Y21" s="277">
        <f>IF(IF(ISNA(INDEX(СГИ!$P$3:$AI$22,VLOOKUP($N21,СГИ!$N$3:$O$22,2),HLOOKUP(Y$6,СГИ!$P$1:$AI$2,2))),"",INDEX(СГИ!$P$3:$AI$22,VLOOKUP($N21,СГИ!$N$3:$O$22,2),HLOOKUP(Y$6,СГИ!$P$1:$AI$2,2)))=1,CONCATENATE("при измерении ",$N21," ",Y$6," не допускается ! "),"")</f>
      </c>
      <c r="Z21" s="277">
        <f>IF(IF(ISNA(INDEX(СГИ!$P$3:$AI$22,VLOOKUP($N21,СГИ!$N$3:$O$22,2),HLOOKUP(Z$6,СГИ!$P$1:$AI$2,2))),"",INDEX(СГИ!$P$3:$AI$22,VLOOKUP($N21,СГИ!$N$3:$O$22,2),HLOOKUP(Z$6,СГИ!$P$1:$AI$2,2)))=1,CONCATENATE("при измерении ",$N21," ",Z$6," не допускается ! "),"")</f>
      </c>
      <c r="AA21" s="277">
        <f>IF(IF(ISNA(INDEX(СГИ!$P$3:$AI$22,VLOOKUP($N21,СГИ!$N$3:$O$22,2),HLOOKUP(AA$6,СГИ!$P$1:$AI$2,2))),"",INDEX(СГИ!$P$3:$AI$22,VLOOKUP($N21,СГИ!$N$3:$O$22,2),HLOOKUP(AA$6,СГИ!$P$1:$AI$2,2)))=1,CONCATENATE("при измерении ",$N21," ",AA$6," не допускается ! "),"")</f>
      </c>
      <c r="AB21" s="277">
        <f>IF(IF(ISNA(INDEX(СГИ!$P$3:$AI$22,VLOOKUP($N21,СГИ!$N$3:$O$22,2),HLOOKUP(AB$6,СГИ!$P$1:$AI$2,2))),"",INDEX(СГИ!$P$3:$AI$22,VLOOKUP($N21,СГИ!$N$3:$O$22,2),HLOOKUP(AB$6,СГИ!$P$1:$AI$2,2)))=1,CONCATENATE("при измерении ",$N21," ",AB$6," не допускается ! "),"")</f>
      </c>
      <c r="AC21" s="277">
        <f>IF(IF(ISNA(INDEX(СГИ!$P$3:$AI$22,VLOOKUP($N21,СГИ!$N$3:$O$22,2),HLOOKUP(AC$6,СГИ!$P$1:$AI$2,2))),"",INDEX(СГИ!$P$3:$AI$22,VLOOKUP($N21,СГИ!$N$3:$O$22,2),HLOOKUP(AC$6,СГИ!$P$1:$AI$2,2)))=1,CONCATENATE("при измерении ",$N21," ",AC$6," не допускается ! "),"")</f>
      </c>
      <c r="AD21" s="277">
        <f>IF(IF(ISNA(INDEX(СГИ!$P$3:$AI$22,VLOOKUP($N21,СГИ!$N$3:$O$22,2),HLOOKUP(AD$6,СГИ!$P$1:$AI$2,2))),"",INDEX(СГИ!$P$3:$AI$22,VLOOKUP($N21,СГИ!$N$3:$O$22,2),HLOOKUP(AD$6,СГИ!$P$1:$AI$2,2)))=1,CONCATENATE("при измерении ",$N21," ",AD$6," не допускается ! "),"")</f>
      </c>
      <c r="AE21" s="277">
        <f>IF(IF(ISNA(INDEX(СГИ!$P$3:$AI$22,VLOOKUP($N21,СГИ!$N$3:$O$22,2),HLOOKUP(AE$6,СГИ!$P$1:$AI$2,2))),"",INDEX(СГИ!$P$3:$AI$22,VLOOKUP($N21,СГИ!$N$3:$O$22,2),HLOOKUP(AE$6,СГИ!$P$1:$AI$2,2)))=1,CONCATENATE("при измерении ",$N21," ",AE$6," не допускается ! "),"")</f>
      </c>
      <c r="AF21" s="372">
        <f>IF(IF(ISNA(INDEX(СГИ!$P$3:$AI$22,VLOOKUP($N21,СГИ!$N$3:$O$22,2),HLOOKUP(AF$6,СГИ!$P$1:$AI$2,2))),"",INDEX(СГИ!$P$3:$AI$22,VLOOKUP($N21,СГИ!$N$3:$O$22,2),HLOOKUP(AF$6,СГИ!$P$1:$AI$2,2)))=1,CONCATENATE("при измерении ",$N21," ",AF$6," не допускается ! "),"")</f>
      </c>
      <c r="AG21">
        <f t="shared" si="1"/>
      </c>
    </row>
    <row r="22" spans="1:33" ht="21.75" customHeight="1" thickBot="1">
      <c r="A22" s="817"/>
      <c r="B22" s="289" t="s">
        <v>117</v>
      </c>
      <c r="C22" s="818"/>
      <c r="D22" s="369" t="str">
        <f t="shared" si="3"/>
        <v>&lt;- введите данные, если необходимо</v>
      </c>
      <c r="E22"/>
      <c r="F22" s="853" t="s">
        <v>407</v>
      </c>
      <c r="G22" s="905">
        <v>0.025</v>
      </c>
      <c r="H22" s="896">
        <f t="shared" si="2"/>
      </c>
      <c r="I22" s="800">
        <f t="shared" si="0"/>
        <v>0</v>
      </c>
      <c r="L22" s="807">
        <f>IF(C22&gt;0,ПГ!S22,"")</f>
      </c>
      <c r="N22" s="276">
        <f t="shared" si="4"/>
      </c>
      <c r="O22" s="277">
        <f>IF(IF(ISNA(INDEX(СГИ!$P$3:$AI$22,VLOOKUP($N22,СГИ!$N$3:$O$22,2),HLOOKUP(O$6,СГИ!$P$1:$AI$2,2))),"",INDEX(СГИ!$P$3:$AI$22,VLOOKUP($N22,СГИ!$N$3:$O$22,2),HLOOKUP(O$6,СГИ!$P$1:$AI$2,2)))=1,CONCATENATE("при измерении ",$N22," ",O$6," не допускается ! "),"")</f>
      </c>
      <c r="P22" s="277">
        <f>IF(IF(ISNA(INDEX(СГИ!$P$3:$AI$22,VLOOKUP($N22,СГИ!$N$3:$O$22,2),HLOOKUP(P$6,СГИ!$P$1:$AI$2,2))),"",INDEX(СГИ!$P$3:$AI$22,VLOOKUP($N22,СГИ!$N$3:$O$22,2),HLOOKUP(P$6,СГИ!$P$1:$AI$2,2)))=1,CONCATENATE("при измерении ",$N22," ",P$6," не допускается ! "),"")</f>
      </c>
      <c r="Q22" s="277">
        <f>IF(IF(ISNA(INDEX(СГИ!$P$3:$AI$22,VLOOKUP($N22,СГИ!$N$3:$O$22,2),HLOOKUP(Q$6,СГИ!$P$1:$AI$2,2))),"",INDEX(СГИ!$P$3:$AI$22,VLOOKUP($N22,СГИ!$N$3:$O$22,2),HLOOKUP(Q$6,СГИ!$P$1:$AI$2,2)))=1,CONCATENATE("при измерении ",$N22," ",Q$6," не допускается ! "),"")</f>
      </c>
      <c r="R22" s="277">
        <f>IF(IF(ISNA(INDEX(СГИ!$P$3:$AI$22,VLOOKUP($N22,СГИ!$N$3:$O$22,2),HLOOKUP(R$6,СГИ!$P$1:$AI$2,2))),"",INDEX(СГИ!$P$3:$AI$22,VLOOKUP($N22,СГИ!$N$3:$O$22,2),HLOOKUP(R$6,СГИ!$P$1:$AI$2,2)))=1,CONCATENATE("при измерении ",$N22," ",R$6," не допускается ! "),"")</f>
      </c>
      <c r="S22" s="277">
        <f>IF(IF(ISNA(INDEX(СГИ!$P$3:$AI$22,VLOOKUP($N22,СГИ!$N$3:$O$22,2),HLOOKUP(S$6,СГИ!$P$1:$AI$2,2))),"",INDEX(СГИ!$P$3:$AI$22,VLOOKUP($N22,СГИ!$N$3:$O$22,2),HLOOKUP(S$6,СГИ!$P$1:$AI$2,2)))=1,CONCATENATE("при измерении ",$N22," ",S$6," не допускается ! "),"")</f>
      </c>
      <c r="T22" s="277">
        <f>IF(IF(ISNA(INDEX(СГИ!$P$3:$AI$22,VLOOKUP($N22,СГИ!$N$3:$O$22,2),HLOOKUP(T$6,СГИ!$P$1:$AI$2,2))),"",INDEX(СГИ!$P$3:$AI$22,VLOOKUP($N22,СГИ!$N$3:$O$22,2),HLOOKUP(T$6,СГИ!$P$1:$AI$2,2)))=1,CONCATENATE("при измерении ",$N22," ",T$6," не допускается ! "),"")</f>
      </c>
      <c r="U22" s="277">
        <f>IF(IF(ISNA(INDEX(СГИ!$P$3:$AI$22,VLOOKUP($N22,СГИ!$N$3:$O$22,2),HLOOKUP(U$6,СГИ!$P$1:$AI$2,2))),"",INDEX(СГИ!$P$3:$AI$22,VLOOKUP($N22,СГИ!$N$3:$O$22,2),HLOOKUP(U$6,СГИ!$P$1:$AI$2,2)))=1,CONCATENATE("при измерении ",$N22," ",U$6," не допускается ! "),"")</f>
      </c>
      <c r="V22" s="277">
        <f>IF(IF(ISNA(INDEX(СГИ!$P$3:$AI$22,VLOOKUP($N22,СГИ!$N$3:$O$22,2),HLOOKUP(V$6,СГИ!$P$1:$AI$2,2))),"",INDEX(СГИ!$P$3:$AI$22,VLOOKUP($N22,СГИ!$N$3:$O$22,2),HLOOKUP(V$6,СГИ!$P$1:$AI$2,2)))=1,CONCATENATE("при измерении ",$N22," ",V$6," не допускается ! "),"")</f>
      </c>
      <c r="W22" s="277">
        <f>IF(IF(ISNA(INDEX(СГИ!$P$3:$AI$22,VLOOKUP($N22,СГИ!$N$3:$O$22,2),HLOOKUP(W$6,СГИ!$P$1:$AI$2,2))),"",INDEX(СГИ!$P$3:$AI$22,VLOOKUP($N22,СГИ!$N$3:$O$22,2),HLOOKUP(W$6,СГИ!$P$1:$AI$2,2)))=1,CONCATENATE("при измерении ",$N22," ",W$6," не допускается ! "),"")</f>
      </c>
      <c r="X22" s="277">
        <f>IF(IF(ISNA(INDEX(СГИ!$P$3:$AI$22,VLOOKUP($N22,СГИ!$N$3:$O$22,2),HLOOKUP(X$6,СГИ!$P$1:$AI$2,2))),"",INDEX(СГИ!$P$3:$AI$22,VLOOKUP($N22,СГИ!$N$3:$O$22,2),HLOOKUP(X$6,СГИ!$P$1:$AI$2,2)))=1,CONCATENATE("при измерении ",$N22," ",X$6," не допускается ! "),"")</f>
      </c>
      <c r="Y22" s="277">
        <f>IF(IF(ISNA(INDEX(СГИ!$P$3:$AI$22,VLOOKUP($N22,СГИ!$N$3:$O$22,2),HLOOKUP(Y$6,СГИ!$P$1:$AI$2,2))),"",INDEX(СГИ!$P$3:$AI$22,VLOOKUP($N22,СГИ!$N$3:$O$22,2),HLOOKUP(Y$6,СГИ!$P$1:$AI$2,2)))=1,CONCATENATE("при измерении ",$N22," ",Y$6," не допускается ! "),"")</f>
      </c>
      <c r="Z22" s="277">
        <f>IF(IF(ISNA(INDEX(СГИ!$P$3:$AI$22,VLOOKUP($N22,СГИ!$N$3:$O$22,2),HLOOKUP(Z$6,СГИ!$P$1:$AI$2,2))),"",INDEX(СГИ!$P$3:$AI$22,VLOOKUP($N22,СГИ!$N$3:$O$22,2),HLOOKUP(Z$6,СГИ!$P$1:$AI$2,2)))=1,CONCATENATE("при измерении ",$N22," ",Z$6," не допускается ! "),"")</f>
      </c>
      <c r="AA22" s="277">
        <f>IF(IF(ISNA(INDEX(СГИ!$P$3:$AI$22,VLOOKUP($N22,СГИ!$N$3:$O$22,2),HLOOKUP(AA$6,СГИ!$P$1:$AI$2,2))),"",INDEX(СГИ!$P$3:$AI$22,VLOOKUP($N22,СГИ!$N$3:$O$22,2),HLOOKUP(AA$6,СГИ!$P$1:$AI$2,2)))=1,CONCATENATE("при измерении ",$N22," ",AA$6," не допускается ! "),"")</f>
      </c>
      <c r="AB22" s="277">
        <f>IF(IF(ISNA(INDEX(СГИ!$P$3:$AI$22,VLOOKUP($N22,СГИ!$N$3:$O$22,2),HLOOKUP(AB$6,СГИ!$P$1:$AI$2,2))),"",INDEX(СГИ!$P$3:$AI$22,VLOOKUP($N22,СГИ!$N$3:$O$22,2),HLOOKUP(AB$6,СГИ!$P$1:$AI$2,2)))=1,CONCATENATE("при измерении ",$N22," ",AB$6," не допускается ! "),"")</f>
      </c>
      <c r="AC22" s="277">
        <f>IF(IF(ISNA(INDEX(СГИ!$P$3:$AI$22,VLOOKUP($N22,СГИ!$N$3:$O$22,2),HLOOKUP(AC$6,СГИ!$P$1:$AI$2,2))),"",INDEX(СГИ!$P$3:$AI$22,VLOOKUP($N22,СГИ!$N$3:$O$22,2),HLOOKUP(AC$6,СГИ!$P$1:$AI$2,2)))=1,CONCATENATE("при измерении ",$N22," ",AC$6," не допускается ! "),"")</f>
      </c>
      <c r="AD22" s="277">
        <f>IF(IF(ISNA(INDEX(СГИ!$P$3:$AI$22,VLOOKUP($N22,СГИ!$N$3:$O$22,2),HLOOKUP(AD$6,СГИ!$P$1:$AI$2,2))),"",INDEX(СГИ!$P$3:$AI$22,VLOOKUP($N22,СГИ!$N$3:$O$22,2),HLOOKUP(AD$6,СГИ!$P$1:$AI$2,2)))=1,CONCATENATE("при измерении ",$N22," ",AD$6," не допускается ! "),"")</f>
      </c>
      <c r="AE22" s="277">
        <f>IF(IF(ISNA(INDEX(СГИ!$P$3:$AI$22,VLOOKUP($N22,СГИ!$N$3:$O$22,2),HLOOKUP(AE$6,СГИ!$P$1:$AI$2,2))),"",INDEX(СГИ!$P$3:$AI$22,VLOOKUP($N22,СГИ!$N$3:$O$22,2),HLOOKUP(AE$6,СГИ!$P$1:$AI$2,2)))=1,CONCATENATE("при измерении ",$N22," ",AE$6," не допускается ! "),"")</f>
      </c>
      <c r="AF22" s="372">
        <f>IF(IF(ISNA(INDEX(СГИ!$P$3:$AI$22,VLOOKUP($N22,СГИ!$N$3:$O$22,2),HLOOKUP(AF$6,СГИ!$P$1:$AI$2,2))),"",INDEX(СГИ!$P$3:$AI$22,VLOOKUP($N22,СГИ!$N$3:$O$22,2),HLOOKUP(AF$6,СГИ!$P$1:$AI$2,2)))=1,CONCATENATE("при измерении ",$N22," ",AF$6," не допускается ! "),"")</f>
      </c>
      <c r="AG22">
        <f t="shared" si="1"/>
      </c>
    </row>
    <row r="23" spans="1:33" ht="15.75" customHeight="1" thickBot="1">
      <c r="A23" s="823"/>
      <c r="B23" s="825" t="s">
        <v>583</v>
      </c>
      <c r="C23" s="824"/>
      <c r="D23" s="826" t="str">
        <f t="shared" si="3"/>
        <v>&lt;- введите данные, если необходимо</v>
      </c>
      <c r="F23" s="874" t="s">
        <v>409</v>
      </c>
      <c r="G23" s="875" t="str">
        <f>IF(G13="проверьте ввод данных","--",IF($G22&gt;0.2,"скидка указана неверно",ROUND(G13*(1-$G22),2)))</f>
        <v>--</v>
      </c>
      <c r="H23" s="897">
        <f t="shared" si="2"/>
      </c>
      <c r="I23" s="813">
        <f t="shared" si="0"/>
        <v>0</v>
      </c>
      <c r="J23" s="795">
        <f>IF(I7=1,"92","")</f>
      </c>
      <c r="N23" s="276">
        <f t="shared" si="4"/>
      </c>
      <c r="O23" s="277">
        <f>IF(IF(ISNA(INDEX(СГИ!$P$3:$AI$22,VLOOKUP($N23,СГИ!$N$3:$O$22,2),HLOOKUP(O$6,СГИ!$P$1:$AI$2,2))),"",INDEX(СГИ!$P$3:$AI$22,VLOOKUP($N23,СГИ!$N$3:$O$22,2),HLOOKUP(O$6,СГИ!$P$1:$AI$2,2)))=1,CONCATENATE("при измерении ",$N23," ",O$6," не допускается ! "),"")</f>
      </c>
      <c r="P23" s="277">
        <f>IF(IF(ISNA(INDEX(СГИ!$P$3:$AI$22,VLOOKUP($N23,СГИ!$N$3:$O$22,2),HLOOKUP(P$6,СГИ!$P$1:$AI$2,2))),"",INDEX(СГИ!$P$3:$AI$22,VLOOKUP($N23,СГИ!$N$3:$O$22,2),HLOOKUP(P$6,СГИ!$P$1:$AI$2,2)))=1,CONCATENATE("при измерении ",$N23," ",P$6," не допускается ! "),"")</f>
      </c>
      <c r="Q23" s="277">
        <f>IF(IF(ISNA(INDEX(СГИ!$P$3:$AI$22,VLOOKUP($N23,СГИ!$N$3:$O$22,2),HLOOKUP(Q$6,СГИ!$P$1:$AI$2,2))),"",INDEX(СГИ!$P$3:$AI$22,VLOOKUP($N23,СГИ!$N$3:$O$22,2),HLOOKUP(Q$6,СГИ!$P$1:$AI$2,2)))=1,CONCATENATE("при измерении ",$N23," ",Q$6," не допускается ! "),"")</f>
      </c>
      <c r="R23" s="277">
        <f>IF(IF(ISNA(INDEX(СГИ!$P$3:$AI$22,VLOOKUP($N23,СГИ!$N$3:$O$22,2),HLOOKUP(R$6,СГИ!$P$1:$AI$2,2))),"",INDEX(СГИ!$P$3:$AI$22,VLOOKUP($N23,СГИ!$N$3:$O$22,2),HLOOKUP(R$6,СГИ!$P$1:$AI$2,2)))=1,CONCATENATE("при измерении ",$N23," ",R$6," не допускается ! "),"")</f>
      </c>
      <c r="S23" s="277">
        <f>IF(IF(ISNA(INDEX(СГИ!$P$3:$AI$22,VLOOKUP($N23,СГИ!$N$3:$O$22,2),HLOOKUP(S$6,СГИ!$P$1:$AI$2,2))),"",INDEX(СГИ!$P$3:$AI$22,VLOOKUP($N23,СГИ!$N$3:$O$22,2),HLOOKUP(S$6,СГИ!$P$1:$AI$2,2)))=1,CONCATENATE("при измерении ",$N23," ",S$6," не допускается ! "),"")</f>
      </c>
      <c r="T23" s="277">
        <f>IF(IF(ISNA(INDEX(СГИ!$P$3:$AI$22,VLOOKUP($N23,СГИ!$N$3:$O$22,2),HLOOKUP(T$6,СГИ!$P$1:$AI$2,2))),"",INDEX(СГИ!$P$3:$AI$22,VLOOKUP($N23,СГИ!$N$3:$O$22,2),HLOOKUP(T$6,СГИ!$P$1:$AI$2,2)))=1,CONCATENATE("при измерении ",$N23," ",T$6," не допускается ! "),"")</f>
      </c>
      <c r="U23" s="277">
        <f>IF(IF(ISNA(INDEX(СГИ!$P$3:$AI$22,VLOOKUP($N23,СГИ!$N$3:$O$22,2),HLOOKUP(U$6,СГИ!$P$1:$AI$2,2))),"",INDEX(СГИ!$P$3:$AI$22,VLOOKUP($N23,СГИ!$N$3:$O$22,2),HLOOKUP(U$6,СГИ!$P$1:$AI$2,2)))=1,CONCATENATE("при измерении ",$N23," ",U$6," не допускается ! "),"")</f>
      </c>
      <c r="V23" s="277">
        <f>IF(IF(ISNA(INDEX(СГИ!$P$3:$AI$22,VLOOKUP($N23,СГИ!$N$3:$O$22,2),HLOOKUP(V$6,СГИ!$P$1:$AI$2,2))),"",INDEX(СГИ!$P$3:$AI$22,VLOOKUP($N23,СГИ!$N$3:$O$22,2),HLOOKUP(V$6,СГИ!$P$1:$AI$2,2)))=1,CONCATENATE("при измерении ",$N23," ",V$6," не допускается ! "),"")</f>
      </c>
      <c r="W23" s="277">
        <f>IF(IF(ISNA(INDEX(СГИ!$P$3:$AI$22,VLOOKUP($N23,СГИ!$N$3:$O$22,2),HLOOKUP(W$6,СГИ!$P$1:$AI$2,2))),"",INDEX(СГИ!$P$3:$AI$22,VLOOKUP($N23,СГИ!$N$3:$O$22,2),HLOOKUP(W$6,СГИ!$P$1:$AI$2,2)))=1,CONCATENATE("при измерении ",$N23," ",W$6," не допускается ! "),"")</f>
      </c>
      <c r="X23" s="277">
        <f>IF(IF(ISNA(INDEX(СГИ!$P$3:$AI$22,VLOOKUP($N23,СГИ!$N$3:$O$22,2),HLOOKUP(X$6,СГИ!$P$1:$AI$2,2))),"",INDEX(СГИ!$P$3:$AI$22,VLOOKUP($N23,СГИ!$N$3:$O$22,2),HLOOKUP(X$6,СГИ!$P$1:$AI$2,2)))=1,CONCATENATE("при измерении ",$N23," ",X$6," не допускается ! "),"")</f>
      </c>
      <c r="Y23" s="277">
        <f>IF(IF(ISNA(INDEX(СГИ!$P$3:$AI$22,VLOOKUP($N23,СГИ!$N$3:$O$22,2),HLOOKUP(Y$6,СГИ!$P$1:$AI$2,2))),"",INDEX(СГИ!$P$3:$AI$22,VLOOKUP($N23,СГИ!$N$3:$O$22,2),HLOOKUP(Y$6,СГИ!$P$1:$AI$2,2)))=1,CONCATENATE("при измерении ",$N23," ",Y$6," не допускается ! "),"")</f>
      </c>
      <c r="Z23" s="277">
        <f>IF(IF(ISNA(INDEX(СГИ!$P$3:$AI$22,VLOOKUP($N23,СГИ!$N$3:$O$22,2),HLOOKUP(Z$6,СГИ!$P$1:$AI$2,2))),"",INDEX(СГИ!$P$3:$AI$22,VLOOKUP($N23,СГИ!$N$3:$O$22,2),HLOOKUP(Z$6,СГИ!$P$1:$AI$2,2)))=1,CONCATENATE("при измерении ",$N23," ",Z$6," не допускается ! "),"")</f>
      </c>
      <c r="AA23" s="277">
        <f>IF(IF(ISNA(INDEX(СГИ!$P$3:$AI$22,VLOOKUP($N23,СГИ!$N$3:$O$22,2),HLOOKUP(AA$6,СГИ!$P$1:$AI$2,2))),"",INDEX(СГИ!$P$3:$AI$22,VLOOKUP($N23,СГИ!$N$3:$O$22,2),HLOOKUP(AA$6,СГИ!$P$1:$AI$2,2)))=1,CONCATENATE("при измерении ",$N23," ",AA$6," не допускается ! "),"")</f>
      </c>
      <c r="AB23" s="277">
        <f>IF(IF(ISNA(INDEX(СГИ!$P$3:$AI$22,VLOOKUP($N23,СГИ!$N$3:$O$22,2),HLOOKUP(AB$6,СГИ!$P$1:$AI$2,2))),"",INDEX(СГИ!$P$3:$AI$22,VLOOKUP($N23,СГИ!$N$3:$O$22,2),HLOOKUP(AB$6,СГИ!$P$1:$AI$2,2)))=1,CONCATENATE("при измерении ",$N23," ",AB$6," не допускается ! "),"")</f>
      </c>
      <c r="AC23" s="277">
        <f>IF(IF(ISNA(INDEX(СГИ!$P$3:$AI$22,VLOOKUP($N23,СГИ!$N$3:$O$22,2),HLOOKUP(AC$6,СГИ!$P$1:$AI$2,2))),"",INDEX(СГИ!$P$3:$AI$22,VLOOKUP($N23,СГИ!$N$3:$O$22,2),HLOOKUP(AC$6,СГИ!$P$1:$AI$2,2)))=1,CONCATENATE("при измерении ",$N23," ",AC$6," не допускается ! "),"")</f>
      </c>
      <c r="AD23" s="277">
        <f>IF(IF(ISNA(INDEX(СГИ!$P$3:$AI$22,VLOOKUP($N23,СГИ!$N$3:$O$22,2),HLOOKUP(AD$6,СГИ!$P$1:$AI$2,2))),"",INDEX(СГИ!$P$3:$AI$22,VLOOKUP($N23,СГИ!$N$3:$O$22,2),HLOOKUP(AD$6,СГИ!$P$1:$AI$2,2)))=1,CONCATENATE("при измерении ",$N23," ",AD$6," не допускается ! "),"")</f>
      </c>
      <c r="AE23" s="277">
        <f>IF(IF(ISNA(INDEX(СГИ!$P$3:$AI$22,VLOOKUP($N23,СГИ!$N$3:$O$22,2),HLOOKUP(AE$6,СГИ!$P$1:$AI$2,2))),"",INDEX(СГИ!$P$3:$AI$22,VLOOKUP($N23,СГИ!$N$3:$O$22,2),HLOOKUP(AE$6,СГИ!$P$1:$AI$2,2)))=1,CONCATENATE("при измерении ",$N23," ",AE$6," не допускается ! "),"")</f>
      </c>
      <c r="AF23" s="372">
        <f>IF(IF(ISNA(INDEX(СГИ!$P$3:$AI$22,VLOOKUP($N23,СГИ!$N$3:$O$22,2),HLOOKUP(AF$6,СГИ!$P$1:$AI$2,2))),"",INDEX(СГИ!$P$3:$AI$22,VLOOKUP($N23,СГИ!$N$3:$O$22,2),HLOOKUP(AF$6,СГИ!$P$1:$AI$2,2)))=1,CONCATENATE("при измерении ",$N23," ",AF$6," не допускается ! "),"")</f>
      </c>
      <c r="AG23">
        <f t="shared" si="1"/>
      </c>
    </row>
    <row r="24" spans="8:33" ht="18.75" customHeight="1">
      <c r="H24" s="830"/>
      <c r="I24" s="834"/>
      <c r="J24" s="796">
        <f>IF(AND(I26+I14&gt;0,I26+I14&lt;4),"М","")</f>
      </c>
      <c r="N24" s="276">
        <f t="shared" si="4"/>
      </c>
      <c r="O24" s="277">
        <f>IF(IF(ISNA(INDEX(СГИ!$P$3:$AI$22,VLOOKUP($N24,СГИ!$N$3:$O$22,2),HLOOKUP(O$6,СГИ!$P$1:$AI$2,2))),"",INDEX(СГИ!$P$3:$AI$22,VLOOKUP($N24,СГИ!$N$3:$O$22,2),HLOOKUP(O$6,СГИ!$P$1:$AI$2,2)))=1,CONCATENATE("при измерении ",$N24," ",O$6," не допускается ! "),"")</f>
      </c>
      <c r="P24" s="277">
        <f>IF(IF(ISNA(INDEX(СГИ!$P$3:$AI$22,VLOOKUP($N24,СГИ!$N$3:$O$22,2),HLOOKUP(P$6,СГИ!$P$1:$AI$2,2))),"",INDEX(СГИ!$P$3:$AI$22,VLOOKUP($N24,СГИ!$N$3:$O$22,2),HLOOKUP(P$6,СГИ!$P$1:$AI$2,2)))=1,CONCATENATE("при измерении ",$N24," ",P$6," не допускается ! "),"")</f>
      </c>
      <c r="Q24" s="277">
        <f>IF(IF(ISNA(INDEX(СГИ!$P$3:$AI$22,VLOOKUP($N24,СГИ!$N$3:$O$22,2),HLOOKUP(Q$6,СГИ!$P$1:$AI$2,2))),"",INDEX(СГИ!$P$3:$AI$22,VLOOKUP($N24,СГИ!$N$3:$O$22,2),HLOOKUP(Q$6,СГИ!$P$1:$AI$2,2)))=1,CONCATENATE("при измерении ",$N24," ",Q$6," не допускается ! "),"")</f>
      </c>
      <c r="R24" s="277">
        <f>IF(IF(ISNA(INDEX(СГИ!$P$3:$AI$22,VLOOKUP($N24,СГИ!$N$3:$O$22,2),HLOOKUP(R$6,СГИ!$P$1:$AI$2,2))),"",INDEX(СГИ!$P$3:$AI$22,VLOOKUP($N24,СГИ!$N$3:$O$22,2),HLOOKUP(R$6,СГИ!$P$1:$AI$2,2)))=1,CONCATENATE("при измерении ",$N24," ",R$6," не допускается ! "),"")</f>
      </c>
      <c r="S24" s="277">
        <f>IF(IF(ISNA(INDEX(СГИ!$P$3:$AI$22,VLOOKUP($N24,СГИ!$N$3:$O$22,2),HLOOKUP(S$6,СГИ!$P$1:$AI$2,2))),"",INDEX(СГИ!$P$3:$AI$22,VLOOKUP($N24,СГИ!$N$3:$O$22,2),HLOOKUP(S$6,СГИ!$P$1:$AI$2,2)))=1,CONCATENATE("при измерении ",$N24," ",S$6," не допускается ! "),"")</f>
      </c>
      <c r="T24" s="277">
        <f>IF(IF(ISNA(INDEX(СГИ!$P$3:$AI$22,VLOOKUP($N24,СГИ!$N$3:$O$22,2),HLOOKUP(T$6,СГИ!$P$1:$AI$2,2))),"",INDEX(СГИ!$P$3:$AI$22,VLOOKUP($N24,СГИ!$N$3:$O$22,2),HLOOKUP(T$6,СГИ!$P$1:$AI$2,2)))=1,CONCATENATE("при измерении ",$N24," ",T$6," не допускается ! "),"")</f>
      </c>
      <c r="U24" s="277">
        <f>IF(IF(ISNA(INDEX(СГИ!$P$3:$AI$22,VLOOKUP($N24,СГИ!$N$3:$O$22,2),HLOOKUP(U$6,СГИ!$P$1:$AI$2,2))),"",INDEX(СГИ!$P$3:$AI$22,VLOOKUP($N24,СГИ!$N$3:$O$22,2),HLOOKUP(U$6,СГИ!$P$1:$AI$2,2)))=1,CONCATENATE("при измерении ",$N24," ",U$6," не допускается ! "),"")</f>
      </c>
      <c r="V24" s="277">
        <f>IF(IF(ISNA(INDEX(СГИ!$P$3:$AI$22,VLOOKUP($N24,СГИ!$N$3:$O$22,2),HLOOKUP(V$6,СГИ!$P$1:$AI$2,2))),"",INDEX(СГИ!$P$3:$AI$22,VLOOKUP($N24,СГИ!$N$3:$O$22,2),HLOOKUP(V$6,СГИ!$P$1:$AI$2,2)))=1,CONCATENATE("при измерении ",$N24," ",V$6," не допускается ! "),"")</f>
      </c>
      <c r="W24" s="277">
        <f>IF(IF(ISNA(INDEX(СГИ!$P$3:$AI$22,VLOOKUP($N24,СГИ!$N$3:$O$22,2),HLOOKUP(W$6,СГИ!$P$1:$AI$2,2))),"",INDEX(СГИ!$P$3:$AI$22,VLOOKUP($N24,СГИ!$N$3:$O$22,2),HLOOKUP(W$6,СГИ!$P$1:$AI$2,2)))=1,CONCATENATE("при измерении ",$N24," ",W$6," не допускается ! "),"")</f>
      </c>
      <c r="X24" s="277">
        <f>IF(IF(ISNA(INDEX(СГИ!$P$3:$AI$22,VLOOKUP($N24,СГИ!$N$3:$O$22,2),HLOOKUP(X$6,СГИ!$P$1:$AI$2,2))),"",INDEX(СГИ!$P$3:$AI$22,VLOOKUP($N24,СГИ!$N$3:$O$22,2),HLOOKUP(X$6,СГИ!$P$1:$AI$2,2)))=1,CONCATENATE("при измерении ",$N24," ",X$6," не допускается ! "),"")</f>
      </c>
      <c r="Y24" s="277">
        <f>IF(IF(ISNA(INDEX(СГИ!$P$3:$AI$22,VLOOKUP($N24,СГИ!$N$3:$O$22,2),HLOOKUP(Y$6,СГИ!$P$1:$AI$2,2))),"",INDEX(СГИ!$P$3:$AI$22,VLOOKUP($N24,СГИ!$N$3:$O$22,2),HLOOKUP(Y$6,СГИ!$P$1:$AI$2,2)))=1,CONCATENATE("при измерении ",$N24," ",Y$6," не допускается ! "),"")</f>
      </c>
      <c r="Z24" s="277">
        <f>IF(IF(ISNA(INDEX(СГИ!$P$3:$AI$22,VLOOKUP($N24,СГИ!$N$3:$O$22,2),HLOOKUP(Z$6,СГИ!$P$1:$AI$2,2))),"",INDEX(СГИ!$P$3:$AI$22,VLOOKUP($N24,СГИ!$N$3:$O$22,2),HLOOKUP(Z$6,СГИ!$P$1:$AI$2,2)))=1,CONCATENATE("при измерении ",$N24," ",Z$6," не допускается ! "),"")</f>
      </c>
      <c r="AA24" s="277">
        <f>IF(IF(ISNA(INDEX(СГИ!$P$3:$AI$22,VLOOKUP($N24,СГИ!$N$3:$O$22,2),HLOOKUP(AA$6,СГИ!$P$1:$AI$2,2))),"",INDEX(СГИ!$P$3:$AI$22,VLOOKUP($N24,СГИ!$N$3:$O$22,2),HLOOKUP(AA$6,СГИ!$P$1:$AI$2,2)))=1,CONCATENATE("при измерении ",$N24," ",AA$6," не допускается ! "),"")</f>
      </c>
      <c r="AB24" s="277">
        <f>IF(IF(ISNA(INDEX(СГИ!$P$3:$AI$22,VLOOKUP($N24,СГИ!$N$3:$O$22,2),HLOOKUP(AB$6,СГИ!$P$1:$AI$2,2))),"",INDEX(СГИ!$P$3:$AI$22,VLOOKUP($N24,СГИ!$N$3:$O$22,2),HLOOKUP(AB$6,СГИ!$P$1:$AI$2,2)))=1,CONCATENATE("при измерении ",$N24," ",AB$6," не допускается ! "),"")</f>
      </c>
      <c r="AC24" s="277">
        <f>IF(IF(ISNA(INDEX(СГИ!$P$3:$AI$22,VLOOKUP($N24,СГИ!$N$3:$O$22,2),HLOOKUP(AC$6,СГИ!$P$1:$AI$2,2))),"",INDEX(СГИ!$P$3:$AI$22,VLOOKUP($N24,СГИ!$N$3:$O$22,2),HLOOKUP(AC$6,СГИ!$P$1:$AI$2,2)))=1,CONCATENATE("при измерении ",$N24," ",AC$6," не допускается ! "),"")</f>
      </c>
      <c r="AD24" s="277">
        <f>IF(IF(ISNA(INDEX(СГИ!$P$3:$AI$22,VLOOKUP($N24,СГИ!$N$3:$O$22,2),HLOOKUP(AD$6,СГИ!$P$1:$AI$2,2))),"",INDEX(СГИ!$P$3:$AI$22,VLOOKUP($N24,СГИ!$N$3:$O$22,2),HLOOKUP(AD$6,СГИ!$P$1:$AI$2,2)))=1,CONCATENATE("при измерении ",$N24," ",AD$6," не допускается ! "),"")</f>
      </c>
      <c r="AE24" s="277">
        <f>IF(IF(ISNA(INDEX(СГИ!$P$3:$AI$22,VLOOKUP($N24,СГИ!$N$3:$O$22,2),HLOOKUP(AE$6,СГИ!$P$1:$AI$2,2))),"",INDEX(СГИ!$P$3:$AI$22,VLOOKUP($N24,СГИ!$N$3:$O$22,2),HLOOKUP(AE$6,СГИ!$P$1:$AI$2,2)))=1,CONCATENATE("при измерении ",$N24," ",AE$6," не допускается ! "),"")</f>
      </c>
      <c r="AF24" s="372">
        <f>IF(IF(ISNA(INDEX(СГИ!$P$3:$AI$22,VLOOKUP($N24,СГИ!$N$3:$O$22,2),HLOOKUP(AF$6,СГИ!$P$1:$AI$2,2))),"",INDEX(СГИ!$P$3:$AI$22,VLOOKUP($N24,СГИ!$N$3:$O$22,2),HLOOKUP(AF$6,СГИ!$P$1:$AI$2,2)))=1,CONCATENATE("при измерении ",$N24," ",AF$6," не допускается ! "),"")</f>
      </c>
      <c r="AG24">
        <f t="shared" si="1"/>
      </c>
    </row>
    <row r="25" spans="8:33" ht="21.75" customHeight="1" thickBot="1">
      <c r="H25" s="830"/>
      <c r="I25" s="834"/>
      <c r="J25" s="797">
        <f>IF(I27&gt;0,"Т","")</f>
      </c>
      <c r="N25" s="400">
        <f t="shared" si="4"/>
      </c>
      <c r="O25" s="401">
        <f>IF(IF(ISNA(INDEX(СГИ!$P$3:$AI$22,VLOOKUP($N25,СГИ!$N$3:$O$22,2),HLOOKUP(O$6,СГИ!$P$1:$AI$2,2))),"",INDEX(СГИ!$P$3:$AI$22,VLOOKUP($N25,СГИ!$N$3:$O$22,2),HLOOKUP(O$6,СГИ!$P$1:$AI$2,2)))=1,CONCATENATE("при измерении ",$N25," ",O$6," не допускается ! "),"")</f>
      </c>
      <c r="P25" s="401">
        <f>IF(IF(ISNA(INDEX(СГИ!$P$3:$AI$22,VLOOKUP($N25,СГИ!$N$3:$O$22,2),HLOOKUP(P$6,СГИ!$P$1:$AI$2,2))),"",INDEX(СГИ!$P$3:$AI$22,VLOOKUP($N25,СГИ!$N$3:$O$22,2),HLOOKUP(P$6,СГИ!$P$1:$AI$2,2)))=1,CONCATENATE("при измерении ",$N25," ",P$6," не допускается ! "),"")</f>
      </c>
      <c r="Q25" s="401">
        <f>IF(IF(ISNA(INDEX(СГИ!$P$3:$AI$22,VLOOKUP($N25,СГИ!$N$3:$O$22,2),HLOOKUP(Q$6,СГИ!$P$1:$AI$2,2))),"",INDEX(СГИ!$P$3:$AI$22,VLOOKUP($N25,СГИ!$N$3:$O$22,2),HLOOKUP(Q$6,СГИ!$P$1:$AI$2,2)))=1,CONCATENATE("при измерении ",$N25," ",Q$6," не допускается ! "),"")</f>
      </c>
      <c r="R25" s="401">
        <f>IF(IF(ISNA(INDEX(СГИ!$P$3:$AI$22,VLOOKUP($N25,СГИ!$N$3:$O$22,2),HLOOKUP(R$6,СГИ!$P$1:$AI$2,2))),"",INDEX(СГИ!$P$3:$AI$22,VLOOKUP($N25,СГИ!$N$3:$O$22,2),HLOOKUP(R$6,СГИ!$P$1:$AI$2,2)))=1,CONCATENATE("при измерении ",$N25," ",R$6," не допускается ! "),"")</f>
      </c>
      <c r="S25" s="401">
        <f>IF(IF(ISNA(INDEX(СГИ!$P$3:$AI$22,VLOOKUP($N25,СГИ!$N$3:$O$22,2),HLOOKUP(S$6,СГИ!$P$1:$AI$2,2))),"",INDEX(СГИ!$P$3:$AI$22,VLOOKUP($N25,СГИ!$N$3:$O$22,2),HLOOKUP(S$6,СГИ!$P$1:$AI$2,2)))=1,CONCATENATE("при измерении ",$N25," ",S$6," не допускается ! "),"")</f>
      </c>
      <c r="T25" s="401">
        <f>IF(IF(ISNA(INDEX(СГИ!$P$3:$AI$22,VLOOKUP($N25,СГИ!$N$3:$O$22,2),HLOOKUP(T$6,СГИ!$P$1:$AI$2,2))),"",INDEX(СГИ!$P$3:$AI$22,VLOOKUP($N25,СГИ!$N$3:$O$22,2),HLOOKUP(T$6,СГИ!$P$1:$AI$2,2)))=1,CONCATENATE("при измерении ",$N25," ",T$6," не допускается ! "),"")</f>
      </c>
      <c r="U25" s="401">
        <f>IF(IF(ISNA(INDEX(СГИ!$P$3:$AI$22,VLOOKUP($N25,СГИ!$N$3:$O$22,2),HLOOKUP(U$6,СГИ!$P$1:$AI$2,2))),"",INDEX(СГИ!$P$3:$AI$22,VLOOKUP($N25,СГИ!$N$3:$O$22,2),HLOOKUP(U$6,СГИ!$P$1:$AI$2,2)))=1,CONCATENATE("при измерении ",$N25," ",U$6," не допускается ! "),"")</f>
      </c>
      <c r="V25" s="401">
        <f>IF(IF(ISNA(INDEX(СГИ!$P$3:$AI$22,VLOOKUP($N25,СГИ!$N$3:$O$22,2),HLOOKUP(V$6,СГИ!$P$1:$AI$2,2))),"",INDEX(СГИ!$P$3:$AI$22,VLOOKUP($N25,СГИ!$N$3:$O$22,2),HLOOKUP(V$6,СГИ!$P$1:$AI$2,2)))=1,CONCATENATE("при измерении ",$N25," ",V$6," не допускается ! "),"")</f>
      </c>
      <c r="W25" s="401">
        <f>IF(IF(ISNA(INDEX(СГИ!$P$3:$AI$22,VLOOKUP($N25,СГИ!$N$3:$O$22,2),HLOOKUP(W$6,СГИ!$P$1:$AI$2,2))),"",INDEX(СГИ!$P$3:$AI$22,VLOOKUP($N25,СГИ!$N$3:$O$22,2),HLOOKUP(W$6,СГИ!$P$1:$AI$2,2)))=1,CONCATENATE("при измерении ",$N25," ",W$6," не допускается ! "),"")</f>
      </c>
      <c r="X25" s="401">
        <f>IF(IF(ISNA(INDEX(СГИ!$P$3:$AI$22,VLOOKUP($N25,СГИ!$N$3:$O$22,2),HLOOKUP(X$6,СГИ!$P$1:$AI$2,2))),"",INDEX(СГИ!$P$3:$AI$22,VLOOKUP($N25,СГИ!$N$3:$O$22,2),HLOOKUP(X$6,СГИ!$P$1:$AI$2,2)))=1,CONCATENATE("при измерении ",$N25," ",X$6," не допускается ! "),"")</f>
      </c>
      <c r="Y25" s="401">
        <f>IF(IF(ISNA(INDEX(СГИ!$P$3:$AI$22,VLOOKUP($N25,СГИ!$N$3:$O$22,2),HLOOKUP(Y$6,СГИ!$P$1:$AI$2,2))),"",INDEX(СГИ!$P$3:$AI$22,VLOOKUP($N25,СГИ!$N$3:$O$22,2),HLOOKUP(Y$6,СГИ!$P$1:$AI$2,2)))=1,CONCATENATE("при измерении ",$N25," ",Y$6," не допускается ! "),"")</f>
      </c>
      <c r="Z25" s="401">
        <f>IF(IF(ISNA(INDEX(СГИ!$P$3:$AI$22,VLOOKUP($N25,СГИ!$N$3:$O$22,2),HLOOKUP(Z$6,СГИ!$P$1:$AI$2,2))),"",INDEX(СГИ!$P$3:$AI$22,VLOOKUP($N25,СГИ!$N$3:$O$22,2),HLOOKUP(Z$6,СГИ!$P$1:$AI$2,2)))=1,CONCATENATE("при измерении ",$N25," ",Z$6," не допускается ! "),"")</f>
      </c>
      <c r="AA25" s="401">
        <f>IF(IF(ISNA(INDEX(СГИ!$P$3:$AI$22,VLOOKUP($N25,СГИ!$N$3:$O$22,2),HLOOKUP(AA$6,СГИ!$P$1:$AI$2,2))),"",INDEX(СГИ!$P$3:$AI$22,VLOOKUP($N25,СГИ!$N$3:$O$22,2),HLOOKUP(AA$6,СГИ!$P$1:$AI$2,2)))=1,CONCATENATE("при измерении ",$N25," ",AA$6," не допускается ! "),"")</f>
      </c>
      <c r="AB25" s="401">
        <f>IF(IF(ISNA(INDEX(СГИ!$P$3:$AI$22,VLOOKUP($N25,СГИ!$N$3:$O$22,2),HLOOKUP(AB$6,СГИ!$P$1:$AI$2,2))),"",INDEX(СГИ!$P$3:$AI$22,VLOOKUP($N25,СГИ!$N$3:$O$22,2),HLOOKUP(AB$6,СГИ!$P$1:$AI$2,2)))=1,CONCATENATE("при измерении ",$N25," ",AB$6," не допускается ! "),"")</f>
      </c>
      <c r="AC25" s="401">
        <f>IF(IF(ISNA(INDEX(СГИ!$P$3:$AI$22,VLOOKUP($N25,СГИ!$N$3:$O$22,2),HLOOKUP(AC$6,СГИ!$P$1:$AI$2,2))),"",INDEX(СГИ!$P$3:$AI$22,VLOOKUP($N25,СГИ!$N$3:$O$22,2),HLOOKUP(AC$6,СГИ!$P$1:$AI$2,2)))=1,CONCATENATE("при измерении ",$N25," ",AC$6," не допускается ! "),"")</f>
      </c>
      <c r="AD25" s="401">
        <f>IF(IF(ISNA(INDEX(СГИ!$P$3:$AI$22,VLOOKUP($N25,СГИ!$N$3:$O$22,2),HLOOKUP(AD$6,СГИ!$P$1:$AI$2,2))),"",INDEX(СГИ!$P$3:$AI$22,VLOOKUP($N25,СГИ!$N$3:$O$22,2),HLOOKUP(AD$6,СГИ!$P$1:$AI$2,2)))=1,CONCATENATE("при измерении ",$N25," ",AD$6," не допускается ! "),"")</f>
      </c>
      <c r="AE25" s="401">
        <f>IF(IF(ISNA(INDEX(СГИ!$P$3:$AI$22,VLOOKUP($N25,СГИ!$N$3:$O$22,2),HLOOKUP(AE$6,СГИ!$P$1:$AI$2,2))),"",INDEX(СГИ!$P$3:$AI$22,VLOOKUP($N25,СГИ!$N$3:$O$22,2),HLOOKUP(AE$6,СГИ!$P$1:$AI$2,2)))=1,CONCATENATE("при измерении ",$N25," ",AE$6," не допускается ! "),"")</f>
      </c>
      <c r="AF25" s="402">
        <f>IF(IF(ISNA(INDEX(СГИ!$P$3:$AI$22,VLOOKUP($N25,СГИ!$N$3:$O$22,2),HLOOKUP(AF$6,СГИ!$P$1:$AI$2,2))),"",INDEX(СГИ!$P$3:$AI$22,VLOOKUP($N25,СГИ!$N$3:$O$22,2),HLOOKUP(AF$6,СГИ!$P$1:$AI$2,2)))=1,CONCATENATE("при измерении ",$N25," ",AF$6," не допускается ! "),"")</f>
      </c>
      <c r="AG25">
        <f t="shared" si="1"/>
      </c>
    </row>
    <row r="26" spans="7:11" ht="19.5" customHeight="1" thickBot="1">
      <c r="G26" s="218"/>
      <c r="H26" s="832" t="s">
        <v>412</v>
      </c>
      <c r="I26" s="833">
        <f>SUM(I8:I13)</f>
        <v>0</v>
      </c>
      <c r="J26" s="831">
        <f>IF(I26-I8-I9-C11&gt;1,"углеводороды не определяются селективно","")</f>
      </c>
      <c r="K26" s="364"/>
    </row>
    <row r="27" spans="7:12" ht="21.75" customHeight="1" thickBot="1">
      <c r="G27" s="218"/>
      <c r="H27" s="829" t="s">
        <v>415</v>
      </c>
      <c r="I27" s="831">
        <f>SUM(I15:I23)</f>
        <v>0</v>
      </c>
      <c r="J27" s="322" t="str">
        <f>IF(J26="",IF(I28&gt;0,CONCATENATE("ОКА-",J23,J24,J25,IF(I28=I7,"",H7),IF(I28=I8,", град. по H2",H8),IF(I28=I9,", град. по CO",H9),IF(I28=I10,", град. по CH4",H10),IF(I28=I11,", град по CH4, с зондом",H11),IF(I28=I12,", град. по C3H8",H12),IF(I28=I13,", град. по C6H14",H13),H15,H16,H17,H18,H19,H20,H21,H23,H24,H25),"данные не введены"),J26)</f>
        <v>данные не введены</v>
      </c>
      <c r="L27" s="411">
        <f>IF(I28&gt;3,-2000,IF(I28=3,1000,0))</f>
        <v>0</v>
      </c>
    </row>
    <row r="28" spans="1:14" s="410" customFormat="1" ht="21" customHeight="1" thickBot="1">
      <c r="A28" s="1"/>
      <c r="B28" s="1"/>
      <c r="C28" s="1"/>
      <c r="D28" s="1"/>
      <c r="E28" s="1"/>
      <c r="F28" s="1"/>
      <c r="G28" s="218"/>
      <c r="H28" s="316" t="s">
        <v>417</v>
      </c>
      <c r="I28" s="348">
        <f>SUM(I7:I23)</f>
        <v>0</v>
      </c>
      <c r="J28" s="325" t="str">
        <f>IF(I28&gt;5,"(уменьшите число каналов)",IF(I28=0,"(введите необходимые данные)",""))</f>
        <v>(введите необходимые данные)</v>
      </c>
      <c r="L28" s="467">
        <v>0</v>
      </c>
      <c r="M28" s="810"/>
      <c r="N28" s="218"/>
    </row>
    <row r="29" spans="1:12" ht="13.5" customHeight="1" thickBot="1">
      <c r="A29" s="456"/>
      <c r="B29" s="456" t="s">
        <v>432</v>
      </c>
      <c r="C29" s="457" t="s">
        <v>419</v>
      </c>
      <c r="D29" s="457" t="s">
        <v>446</v>
      </c>
      <c r="E29" s="458"/>
      <c r="G29" s="218"/>
      <c r="H29" s="228"/>
      <c r="K29" s="412"/>
      <c r="L29" s="467">
        <v>0.025</v>
      </c>
    </row>
    <row r="30" spans="1:12" ht="12" customHeight="1" thickBot="1">
      <c r="A30" s="459"/>
      <c r="B30" s="460" t="s">
        <v>365</v>
      </c>
      <c r="C30" s="461" t="s">
        <v>447</v>
      </c>
      <c r="D30" s="462" t="s">
        <v>448</v>
      </c>
      <c r="E30" s="463" t="s">
        <v>449</v>
      </c>
      <c r="G30" s="218"/>
      <c r="H30" s="228"/>
      <c r="K30" s="352"/>
      <c r="L30" s="467">
        <v>0.05</v>
      </c>
    </row>
    <row r="31" spans="1:12" ht="14.25">
      <c r="A31" s="459"/>
      <c r="B31" s="464" t="s">
        <v>374</v>
      </c>
      <c r="C31" s="248">
        <v>10110</v>
      </c>
      <c r="D31" t="s">
        <v>450</v>
      </c>
      <c r="G31" s="218"/>
      <c r="H31" s="228"/>
      <c r="K31" s="352"/>
      <c r="L31" s="467">
        <v>0.07</v>
      </c>
    </row>
    <row r="32" spans="1:12" ht="12.75">
      <c r="A32" s="459"/>
      <c r="B32" s="466" t="s">
        <v>36</v>
      </c>
      <c r="C32" s="248">
        <v>20710</v>
      </c>
      <c r="D32" t="s">
        <v>451</v>
      </c>
      <c r="G32" s="218" t="str">
        <f>J27</f>
        <v>данные не введены</v>
      </c>
      <c r="H32" s="228"/>
      <c r="K32" s="352"/>
      <c r="L32" s="467">
        <v>0.1</v>
      </c>
    </row>
    <row r="33" spans="1:12" ht="12.75" customHeight="1">
      <c r="A33" s="459"/>
      <c r="B33" s="465" t="s">
        <v>136</v>
      </c>
      <c r="C33" s="248">
        <v>11620</v>
      </c>
      <c r="D33" t="s">
        <v>450</v>
      </c>
      <c r="E33" s="410"/>
      <c r="G33" s="218"/>
      <c r="H33" s="228"/>
      <c r="K33" s="352"/>
      <c r="L33" s="467">
        <v>0.15</v>
      </c>
    </row>
    <row r="34" spans="1:12" ht="14.25">
      <c r="A34" s="459"/>
      <c r="B34" s="465" t="s">
        <v>391</v>
      </c>
      <c r="C34" s="248">
        <v>11620</v>
      </c>
      <c r="D34" t="s">
        <v>450</v>
      </c>
      <c r="G34" s="218"/>
      <c r="H34" s="228"/>
      <c r="K34" s="352"/>
      <c r="L34" s="467">
        <v>0.175</v>
      </c>
    </row>
    <row r="35" spans="1:12" ht="12.75" customHeight="1">
      <c r="A35" s="396"/>
      <c r="B35" s="465" t="s">
        <v>393</v>
      </c>
      <c r="C35" s="248">
        <v>11620</v>
      </c>
      <c r="D35" t="s">
        <v>450</v>
      </c>
      <c r="E35" s="410"/>
      <c r="G35" s="218"/>
      <c r="H35" s="228"/>
      <c r="K35" s="352"/>
      <c r="L35" s="467">
        <v>0.2</v>
      </c>
    </row>
    <row r="36" spans="1:12" ht="15" customHeight="1">
      <c r="A36" s="396"/>
      <c r="B36" s="465" t="s">
        <v>395</v>
      </c>
      <c r="C36" s="248">
        <v>11620</v>
      </c>
      <c r="D36" t="s">
        <v>450</v>
      </c>
      <c r="E36" s="410"/>
      <c r="H36" s="228"/>
      <c r="K36" s="352"/>
      <c r="L36" s="467"/>
    </row>
    <row r="37" spans="1:11" ht="14.25" customHeight="1">
      <c r="A37" s="396"/>
      <c r="B37" s="465" t="s">
        <v>396</v>
      </c>
      <c r="C37" s="248">
        <v>12460</v>
      </c>
      <c r="D37" t="s">
        <v>450</v>
      </c>
      <c r="E37" s="410"/>
      <c r="G37" s="218"/>
      <c r="H37" s="228"/>
      <c r="K37" s="352"/>
    </row>
    <row r="38" spans="1:11" ht="14.25">
      <c r="A38" s="396"/>
      <c r="B38" s="465" t="s">
        <v>398</v>
      </c>
      <c r="C38" s="248">
        <v>13140</v>
      </c>
      <c r="D38" t="s">
        <v>450</v>
      </c>
      <c r="E38" s="410"/>
      <c r="G38" s="218"/>
      <c r="H38" s="228"/>
      <c r="K38" s="352"/>
    </row>
    <row r="39" spans="1:11" ht="12.75">
      <c r="A39" s="396"/>
      <c r="B39" s="465" t="s">
        <v>48</v>
      </c>
      <c r="C39" s="248">
        <v>20360</v>
      </c>
      <c r="D39" t="s">
        <v>450</v>
      </c>
      <c r="E39" s="410"/>
      <c r="G39" s="218"/>
      <c r="H39" s="228"/>
      <c r="K39" s="352"/>
    </row>
    <row r="40" spans="1:11" ht="12.75">
      <c r="A40" s="396"/>
      <c r="B40" s="465" t="s">
        <v>117</v>
      </c>
      <c r="C40" s="248">
        <v>24480</v>
      </c>
      <c r="D40" t="s">
        <v>450</v>
      </c>
      <c r="E40" s="410"/>
      <c r="G40" s="218"/>
      <c r="H40" s="228"/>
      <c r="K40" s="352"/>
    </row>
    <row r="41" spans="1:11" ht="14.25">
      <c r="A41" s="396"/>
      <c r="B41" s="468" t="s">
        <v>408</v>
      </c>
      <c r="C41" s="469">
        <v>20900</v>
      </c>
      <c r="D41" s="470" t="s">
        <v>451</v>
      </c>
      <c r="E41" s="471"/>
      <c r="G41" s="218"/>
      <c r="H41" s="228"/>
      <c r="K41" s="352"/>
    </row>
    <row r="42" spans="7:11" ht="12.75">
      <c r="G42" s="218"/>
      <c r="H42" s="228"/>
      <c r="K42" s="352"/>
    </row>
    <row r="43" spans="7:11" ht="12.75">
      <c r="G43" s="218"/>
      <c r="H43" s="228"/>
      <c r="K43" s="352"/>
    </row>
    <row r="44" spans="7:11" ht="12.75">
      <c r="G44" s="218"/>
      <c r="H44" s="228"/>
      <c r="K44" s="352"/>
    </row>
    <row r="45" spans="1:11" ht="12.75">
      <c r="A45" s="410"/>
      <c r="B45" s="410"/>
      <c r="C45" s="410"/>
      <c r="D45" s="410"/>
      <c r="E45" s="410"/>
      <c r="G45" s="218"/>
      <c r="H45" s="228"/>
      <c r="K45" s="352"/>
    </row>
    <row r="46" spans="1:11" ht="12.75">
      <c r="A46" s="410"/>
      <c r="B46" s="410"/>
      <c r="C46" s="410"/>
      <c r="D46" s="410"/>
      <c r="E46" s="410"/>
      <c r="G46" s="218"/>
      <c r="H46" s="228"/>
      <c r="K46" s="352"/>
    </row>
    <row r="47" spans="1:11" ht="12.75">
      <c r="A47" s="410"/>
      <c r="B47" s="410"/>
      <c r="C47" s="410"/>
      <c r="D47" s="410"/>
      <c r="E47" s="410"/>
      <c r="G47" s="218"/>
      <c r="H47" s="228"/>
      <c r="K47" s="352"/>
    </row>
    <row r="48" spans="1:11" ht="12.75">
      <c r="A48" s="410"/>
      <c r="G48" s="218"/>
      <c r="H48" s="228"/>
      <c r="K48" s="352"/>
    </row>
    <row r="49" spans="1:11" ht="12.75">
      <c r="A49" s="410"/>
      <c r="G49" s="218"/>
      <c r="H49" s="228"/>
      <c r="K49" s="352"/>
    </row>
    <row r="50" spans="1:11" ht="12.75">
      <c r="A50" s="410"/>
      <c r="G50" s="218"/>
      <c r="H50" s="228"/>
      <c r="K50" s="352"/>
    </row>
    <row r="51" spans="1:11" ht="12.75">
      <c r="A51" s="410"/>
      <c r="G51" s="218"/>
      <c r="H51" s="228"/>
      <c r="K51" s="352"/>
    </row>
    <row r="52" spans="1:11" ht="12.75">
      <c r="A52" s="410"/>
      <c r="G52" s="218"/>
      <c r="H52" s="228"/>
      <c r="K52" s="352"/>
    </row>
    <row r="53" spans="1:11" ht="12.75">
      <c r="A53" s="410"/>
      <c r="G53" s="218"/>
      <c r="H53" s="228"/>
      <c r="K53" s="352"/>
    </row>
    <row r="54" spans="1:8" ht="33.75" customHeight="1" thickBot="1">
      <c r="A54" s="410"/>
      <c r="G54" s="218"/>
      <c r="H54" s="228"/>
    </row>
    <row r="55" spans="1:12" ht="21.75" customHeight="1" thickBot="1">
      <c r="A55" s="410"/>
      <c r="G55" s="218"/>
      <c r="H55" s="228"/>
      <c r="L55" s="411"/>
    </row>
    <row r="56" spans="1:8" ht="12.75">
      <c r="A56" s="410"/>
      <c r="G56" s="218"/>
      <c r="H56" s="228"/>
    </row>
    <row r="57" spans="1:8" ht="12.75">
      <c r="A57" s="410"/>
      <c r="B57" s="410"/>
      <c r="C57" s="410"/>
      <c r="D57" s="410"/>
      <c r="E57" s="410"/>
      <c r="G57" s="218"/>
      <c r="H57" s="228"/>
    </row>
    <row r="58" spans="1:8" ht="12.75">
      <c r="A58" s="410"/>
      <c r="B58" s="410"/>
      <c r="C58" s="410"/>
      <c r="D58" s="410"/>
      <c r="E58" s="410"/>
      <c r="G58" s="218"/>
      <c r="H58" s="228"/>
    </row>
    <row r="59" spans="1:5" ht="12.75">
      <c r="A59" s="410"/>
      <c r="B59" s="410"/>
      <c r="C59" s="410"/>
      <c r="D59" s="410"/>
      <c r="E59" s="410"/>
    </row>
  </sheetData>
  <sheetProtection selectLockedCells="1" selectUnlockedCells="1"/>
  <dataValidations count="1">
    <dataValidation type="list" allowBlank="1" showErrorMessage="1" sqref="G22">
      <formula1>'переносные моноблоки (индивидуа'!$L$28:$L$35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50" sqref="A50"/>
      <selection pane="bottomRight" activeCell="A1" sqref="A1:AJ16384"/>
    </sheetView>
  </sheetViews>
  <sheetFormatPr defaultColWidth="9.00390625" defaultRowHeight="12.75"/>
  <cols>
    <col min="1" max="7" width="9.125" style="0" hidden="1" customWidth="1"/>
    <col min="8" max="8" width="15.375" style="0" hidden="1" customWidth="1"/>
    <col min="9" max="9" width="9.125" style="0" hidden="1" customWidth="1"/>
    <col min="10" max="10" width="9.125" style="472" hidden="1" customWidth="1"/>
    <col min="11" max="11" width="11.125" style="472" hidden="1" customWidth="1"/>
    <col min="12" max="12" width="10.00390625" style="472" hidden="1" customWidth="1"/>
    <col min="13" max="36" width="9.125" style="0" hidden="1" customWidth="1"/>
  </cols>
  <sheetData>
    <row r="1" spans="1:35" ht="12.75" customHeight="1" thickBot="1">
      <c r="A1" s="473" t="s">
        <v>452</v>
      </c>
      <c r="B1" s="474">
        <v>0.18</v>
      </c>
      <c r="N1" s="259" t="s">
        <v>321</v>
      </c>
      <c r="O1" s="259"/>
      <c r="P1" s="260" t="str">
        <f>N3</f>
        <v>C3H8</v>
      </c>
      <c r="Q1" t="str">
        <f>N4</f>
        <v>C3H8opt</v>
      </c>
      <c r="R1" t="str">
        <f>N5</f>
        <v>C6H14</v>
      </c>
      <c r="S1" t="str">
        <f>N6</f>
        <v>CH4</v>
      </c>
      <c r="T1" t="str">
        <f>N7</f>
        <v>CH4 токс.</v>
      </c>
      <c r="U1" t="str">
        <f>N8</f>
        <v>CH4opt</v>
      </c>
      <c r="V1" t="str">
        <f>N9</f>
        <v>Cl2</v>
      </c>
      <c r="W1" t="str">
        <f>N10</f>
        <v>CO</v>
      </c>
      <c r="X1" t="str">
        <f>N11</f>
        <v>CO гор.</v>
      </c>
      <c r="Y1" t="str">
        <f>N12</f>
        <v>CO2</v>
      </c>
      <c r="Z1" t="str">
        <f>N13</f>
        <v>F2</v>
      </c>
      <c r="AA1" t="str">
        <f>N14</f>
        <v>H2</v>
      </c>
      <c r="AB1" t="str">
        <f>N15</f>
        <v>H2S</v>
      </c>
      <c r="AC1" t="str">
        <f>N16</f>
        <v>HCl</v>
      </c>
      <c r="AD1" t="str">
        <f>N17</f>
        <v>HF</v>
      </c>
      <c r="AE1" t="str">
        <f>N18</f>
        <v>NH3</v>
      </c>
      <c r="AF1" t="str">
        <f>N19</f>
        <v>NO2</v>
      </c>
      <c r="AG1" t="str">
        <f>N20</f>
        <v>O2</v>
      </c>
      <c r="AH1" t="str">
        <f>N21</f>
        <v>O3(инд.)</v>
      </c>
      <c r="AI1" t="str">
        <f>N22</f>
        <v>SO2</v>
      </c>
    </row>
    <row r="2" spans="14:35" ht="12.75" customHeight="1" thickBot="1">
      <c r="N2" s="259"/>
      <c r="O2" s="259"/>
      <c r="P2" s="260">
        <f>O2+1</f>
        <v>1</v>
      </c>
      <c r="Q2" s="260">
        <f aca="true" t="shared" si="0" ref="Q2:AI2">P2+1</f>
        <v>2</v>
      </c>
      <c r="R2" s="260">
        <f t="shared" si="0"/>
        <v>3</v>
      </c>
      <c r="S2" s="260">
        <f t="shared" si="0"/>
        <v>4</v>
      </c>
      <c r="T2" s="260">
        <f t="shared" si="0"/>
        <v>5</v>
      </c>
      <c r="U2" s="260">
        <f t="shared" si="0"/>
        <v>6</v>
      </c>
      <c r="V2" s="260">
        <f t="shared" si="0"/>
        <v>7</v>
      </c>
      <c r="W2" s="260">
        <f t="shared" si="0"/>
        <v>8</v>
      </c>
      <c r="X2" s="260">
        <f t="shared" si="0"/>
        <v>9</v>
      </c>
      <c r="Y2" s="260">
        <f t="shared" si="0"/>
        <v>10</v>
      </c>
      <c r="Z2" s="260">
        <f t="shared" si="0"/>
        <v>11</v>
      </c>
      <c r="AA2" s="260">
        <f t="shared" si="0"/>
        <v>12</v>
      </c>
      <c r="AB2" s="260">
        <f t="shared" si="0"/>
        <v>13</v>
      </c>
      <c r="AC2" s="260">
        <f t="shared" si="0"/>
        <v>14</v>
      </c>
      <c r="AD2" s="260">
        <f t="shared" si="0"/>
        <v>15</v>
      </c>
      <c r="AE2" s="260">
        <f t="shared" si="0"/>
        <v>16</v>
      </c>
      <c r="AF2" s="260">
        <f t="shared" si="0"/>
        <v>17</v>
      </c>
      <c r="AG2" s="260">
        <f t="shared" si="0"/>
        <v>18</v>
      </c>
      <c r="AH2" s="260">
        <f t="shared" si="0"/>
        <v>19</v>
      </c>
      <c r="AI2" s="261">
        <f t="shared" si="0"/>
        <v>20</v>
      </c>
    </row>
    <row r="3" spans="14:35" ht="12.75" customHeight="1">
      <c r="N3" s="475" t="s">
        <v>292</v>
      </c>
      <c r="O3" s="475">
        <f>O2+1</f>
        <v>1</v>
      </c>
      <c r="P3" s="476" t="s">
        <v>292</v>
      </c>
      <c r="Q3" s="476"/>
      <c r="R3" s="476">
        <v>1</v>
      </c>
      <c r="S3" s="476">
        <v>1</v>
      </c>
      <c r="T3" s="476">
        <v>1</v>
      </c>
      <c r="U3" s="476"/>
      <c r="V3" s="476"/>
      <c r="W3" s="476"/>
      <c r="X3" s="477">
        <v>1</v>
      </c>
      <c r="Y3" s="476"/>
      <c r="Z3" s="476"/>
      <c r="AA3" s="476">
        <v>1</v>
      </c>
      <c r="AB3" s="476"/>
      <c r="AC3" s="476"/>
      <c r="AD3" s="476"/>
      <c r="AE3" s="476"/>
      <c r="AF3" s="476"/>
      <c r="AG3" s="476"/>
      <c r="AH3" s="476"/>
      <c r="AI3" s="478"/>
    </row>
    <row r="4" spans="14:35" ht="12.75" customHeight="1">
      <c r="N4" s="475" t="s">
        <v>453</v>
      </c>
      <c r="O4" s="475">
        <f aca="true" t="shared" si="1" ref="O4:O22">O3+1</f>
        <v>2</v>
      </c>
      <c r="P4" s="476"/>
      <c r="Q4" s="476" t="s">
        <v>453</v>
      </c>
      <c r="R4" s="476"/>
      <c r="S4" s="476"/>
      <c r="T4" s="476"/>
      <c r="U4" s="476">
        <v>1</v>
      </c>
      <c r="V4" s="476"/>
      <c r="W4" s="476"/>
      <c r="X4" s="477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8"/>
    </row>
    <row r="5" spans="1:35" ht="12.75" customHeight="1" thickBot="1">
      <c r="A5" s="479"/>
      <c r="B5" s="479"/>
      <c r="N5" s="475" t="s">
        <v>293</v>
      </c>
      <c r="O5" s="475">
        <f t="shared" si="1"/>
        <v>3</v>
      </c>
      <c r="P5" s="476">
        <v>1</v>
      </c>
      <c r="Q5" s="476"/>
      <c r="R5" s="476" t="s">
        <v>293</v>
      </c>
      <c r="S5" s="476"/>
      <c r="T5" s="476">
        <v>1</v>
      </c>
      <c r="U5" s="476"/>
      <c r="V5" s="476"/>
      <c r="W5" s="476"/>
      <c r="X5" s="476">
        <v>1</v>
      </c>
      <c r="Y5" s="476"/>
      <c r="Z5" s="476"/>
      <c r="AA5" s="476">
        <v>1</v>
      </c>
      <c r="AB5" s="476"/>
      <c r="AC5" s="476"/>
      <c r="AD5" s="476"/>
      <c r="AE5" s="476"/>
      <c r="AF5" s="476"/>
      <c r="AG5" s="476"/>
      <c r="AH5" s="476"/>
      <c r="AI5" s="478"/>
    </row>
    <row r="6" spans="1:35" ht="12.75" customHeight="1" thickBot="1">
      <c r="A6" s="258"/>
      <c r="B6" s="482" t="s">
        <v>454</v>
      </c>
      <c r="C6" s="483" t="str">
        <f>CONCATENATE("цена канала с инфл. ",100*ПГ!B1," /мес")</f>
        <v>цена канала с инфл. 0 /мес</v>
      </c>
      <c r="D6" s="484"/>
      <c r="E6" s="483" t="str">
        <f>CONCATENATE("цена корпуса с инфл. ",100*ПГ!B1," /мес")</f>
        <v>цена корпуса с инфл. 0 /мес</v>
      </c>
      <c r="F6" s="485"/>
      <c r="G6" s="486" t="s">
        <v>455</v>
      </c>
      <c r="N6" s="490" t="s">
        <v>290</v>
      </c>
      <c r="O6" s="475">
        <f t="shared" si="1"/>
        <v>4</v>
      </c>
      <c r="P6" s="476">
        <v>1</v>
      </c>
      <c r="Q6" s="476"/>
      <c r="R6" s="476"/>
      <c r="S6" s="476" t="s">
        <v>290</v>
      </c>
      <c r="T6" s="476"/>
      <c r="U6" s="476"/>
      <c r="V6" s="476"/>
      <c r="W6" s="476"/>
      <c r="X6" s="477">
        <v>1</v>
      </c>
      <c r="Y6" s="476"/>
      <c r="Z6" s="476"/>
      <c r="AA6" s="477">
        <v>1</v>
      </c>
      <c r="AB6" s="476"/>
      <c r="AC6" s="476"/>
      <c r="AD6" s="476"/>
      <c r="AE6" s="476"/>
      <c r="AF6" s="476"/>
      <c r="AG6" s="476"/>
      <c r="AH6" s="476"/>
      <c r="AI6" s="478"/>
    </row>
    <row r="7" spans="1:35" ht="12.75" customHeight="1" thickBot="1">
      <c r="A7" s="491" t="str">
        <f aca="true" t="shared" si="2" ref="A7:A27">A39</f>
        <v>газы</v>
      </c>
      <c r="B7" s="492" t="s">
        <v>457</v>
      </c>
      <c r="C7" s="493" t="s">
        <v>422</v>
      </c>
      <c r="D7" s="494" t="s">
        <v>458</v>
      </c>
      <c r="E7" s="493" t="s">
        <v>422</v>
      </c>
      <c r="F7" s="494" t="s">
        <v>458</v>
      </c>
      <c r="G7" s="495" t="s">
        <v>459</v>
      </c>
      <c r="N7" s="475" t="s">
        <v>461</v>
      </c>
      <c r="O7" s="475">
        <f t="shared" si="1"/>
        <v>5</v>
      </c>
      <c r="P7" s="476"/>
      <c r="Q7" s="476"/>
      <c r="R7" s="476"/>
      <c r="S7" s="476"/>
      <c r="T7" s="476" t="s">
        <v>290</v>
      </c>
      <c r="U7" s="476"/>
      <c r="V7" s="476"/>
      <c r="W7" s="476"/>
      <c r="X7" s="477"/>
      <c r="Y7" s="476"/>
      <c r="Z7" s="476"/>
      <c r="AA7" s="477"/>
      <c r="AB7" s="476"/>
      <c r="AC7" s="476"/>
      <c r="AD7" s="476"/>
      <c r="AE7" s="476"/>
      <c r="AF7" s="476"/>
      <c r="AG7" s="476"/>
      <c r="AH7" s="476"/>
      <c r="AI7" s="478"/>
    </row>
    <row r="8" spans="1:35" ht="12.75" customHeight="1">
      <c r="A8" s="498" t="str">
        <f t="shared" si="2"/>
        <v>C3H8</v>
      </c>
      <c r="B8" s="499">
        <f ca="1">IF(TODAY()&lt;38899,ROUND(B40*ПГ!$F$2,1),0)</f>
        <v>0</v>
      </c>
      <c r="C8" s="500">
        <f>ROUND(C40*ПГ!$F$2,-1)</f>
        <v>8060</v>
      </c>
      <c r="D8" s="501">
        <f>ROUND(D40*ПГ!$F$2,-1)</f>
        <v>8060</v>
      </c>
      <c r="E8" s="500">
        <f>ROUND(E40*ПГ!$F$2,-1)</f>
        <v>4580</v>
      </c>
      <c r="F8" s="501">
        <f>ROUND(F40*ПГ!$F$2,-1)</f>
        <v>4580</v>
      </c>
      <c r="G8" s="502">
        <v>2</v>
      </c>
      <c r="H8" s="480" t="s">
        <v>600</v>
      </c>
      <c r="I8" s="481"/>
      <c r="J8" s="481"/>
      <c r="K8" s="481"/>
      <c r="N8" s="475" t="s">
        <v>462</v>
      </c>
      <c r="O8" s="475">
        <f t="shared" si="1"/>
        <v>6</v>
      </c>
      <c r="P8" s="476"/>
      <c r="Q8" s="476">
        <v>1</v>
      </c>
      <c r="R8" s="476"/>
      <c r="S8" s="476"/>
      <c r="T8" s="476"/>
      <c r="U8" s="476" t="s">
        <v>462</v>
      </c>
      <c r="V8" s="476"/>
      <c r="W8" s="476"/>
      <c r="X8" s="477"/>
      <c r="Y8" s="476"/>
      <c r="Z8" s="476"/>
      <c r="AA8" s="477"/>
      <c r="AB8" s="476"/>
      <c r="AC8" s="476"/>
      <c r="AD8" s="476"/>
      <c r="AE8" s="476"/>
      <c r="AF8" s="476"/>
      <c r="AG8" s="476"/>
      <c r="AH8" s="476"/>
      <c r="AI8" s="478"/>
    </row>
    <row r="9" spans="1:35" ht="12.75" customHeight="1">
      <c r="A9" s="498" t="str">
        <f t="shared" si="2"/>
        <v>C6H14</v>
      </c>
      <c r="B9" s="505">
        <f ca="1">IF(TODAY()&lt;38899,ROUND(B41*ПГ!$F$2,1),0)</f>
        <v>0</v>
      </c>
      <c r="C9" s="506">
        <f>ROUND(C41*ПГ!$F$2,-1)</f>
        <v>8060</v>
      </c>
      <c r="D9" s="507">
        <f>ROUND(D41*ПГ!$F$2,-1)</f>
        <v>8060</v>
      </c>
      <c r="E9" s="506">
        <f>ROUND(E41*ПГ!$F$2,-1)</f>
        <v>4580</v>
      </c>
      <c r="F9" s="507">
        <f>ROUND(F41*ПГ!$F$2,-1)</f>
        <v>4580</v>
      </c>
      <c r="G9" s="508">
        <v>2</v>
      </c>
      <c r="N9" s="475" t="s">
        <v>463</v>
      </c>
      <c r="O9" s="475">
        <f t="shared" si="1"/>
        <v>7</v>
      </c>
      <c r="P9" s="476"/>
      <c r="Q9" s="476"/>
      <c r="R9" s="476"/>
      <c r="S9" s="476"/>
      <c r="T9" s="476"/>
      <c r="U9" s="476"/>
      <c r="V9" s="476" t="s">
        <v>463</v>
      </c>
      <c r="W9" s="476"/>
      <c r="X9" s="476"/>
      <c r="Y9" s="476"/>
      <c r="Z9" s="476"/>
      <c r="AA9" s="476"/>
      <c r="AB9" s="476">
        <v>1</v>
      </c>
      <c r="AC9" s="476">
        <v>1</v>
      </c>
      <c r="AD9" s="476"/>
      <c r="AE9" s="476"/>
      <c r="AF9" s="476">
        <v>1</v>
      </c>
      <c r="AG9" s="476"/>
      <c r="AH9" s="476"/>
      <c r="AI9" s="478"/>
    </row>
    <row r="10" spans="1:35" ht="12.75" customHeight="1">
      <c r="A10" s="498" t="str">
        <f t="shared" si="2"/>
        <v>CH4</v>
      </c>
      <c r="B10" s="505">
        <f ca="1">IF(TODAY()&lt;38899,ROUND(B42*ПГ!$F$2,1),0)</f>
        <v>0</v>
      </c>
      <c r="C10" s="506">
        <f>ROUND(C42*ПГ!$F$2,-1)</f>
        <v>6550</v>
      </c>
      <c r="D10" s="507">
        <f>ROUND(D42*ПГ!$F$2,-1)</f>
        <v>6550</v>
      </c>
      <c r="E10" s="506">
        <f>ROUND(E42*ПГ!$F$2,-1)</f>
        <v>4580</v>
      </c>
      <c r="F10" s="507">
        <f>ROUND(F42*ПГ!$F$2,-1)</f>
        <v>4580</v>
      </c>
      <c r="G10" s="508">
        <v>2</v>
      </c>
      <c r="N10" s="475" t="s">
        <v>136</v>
      </c>
      <c r="O10" s="475">
        <f t="shared" si="1"/>
        <v>8</v>
      </c>
      <c r="P10" s="476"/>
      <c r="Q10" s="476"/>
      <c r="R10" s="476"/>
      <c r="S10" s="476"/>
      <c r="T10" s="476"/>
      <c r="U10" s="476"/>
      <c r="V10" s="476"/>
      <c r="W10" s="476" t="s">
        <v>136</v>
      </c>
      <c r="X10" s="476"/>
      <c r="Y10" s="476"/>
      <c r="Z10" s="476"/>
      <c r="AA10" s="477"/>
      <c r="AB10" s="476"/>
      <c r="AC10" s="476"/>
      <c r="AD10" s="476"/>
      <c r="AE10" s="476"/>
      <c r="AF10" s="476"/>
      <c r="AG10" s="476"/>
      <c r="AH10" s="476"/>
      <c r="AI10" s="478"/>
    </row>
    <row r="11" spans="1:35" ht="12.75" customHeight="1">
      <c r="A11" s="498" t="str">
        <f t="shared" si="2"/>
        <v>CHopt</v>
      </c>
      <c r="B11" s="505">
        <f ca="1">IF(TODAY()&lt;38899,ROUND(B43*ПГ!$F$2,1),0)</f>
        <v>0</v>
      </c>
      <c r="C11" s="506">
        <f>ROUND(C43*ПГ!$F$2,-1)</f>
        <v>13900</v>
      </c>
      <c r="D11" s="507">
        <f>ROUND(D43*ПГ!$F$2,-1)</f>
        <v>13900</v>
      </c>
      <c r="E11" s="506">
        <f>ROUND(E43*ПГ!$F$2,-1)</f>
        <v>4580</v>
      </c>
      <c r="F11" s="507">
        <f>ROUND(F43*ПГ!$F$2,-1)</f>
        <v>4580</v>
      </c>
      <c r="G11" s="508">
        <v>2</v>
      </c>
      <c r="H11" s="520" t="str">
        <f>H42</f>
        <v>Ангор-С</v>
      </c>
      <c r="I11" s="521" t="str">
        <f>I42</f>
        <v>Цена</v>
      </c>
      <c r="N11" s="475" t="s">
        <v>464</v>
      </c>
      <c r="O11" s="475">
        <f t="shared" si="1"/>
        <v>9</v>
      </c>
      <c r="P11" s="476"/>
      <c r="Q11" s="476"/>
      <c r="R11" s="476"/>
      <c r="S11" s="476"/>
      <c r="T11" s="476"/>
      <c r="U11" s="476"/>
      <c r="V11" s="476"/>
      <c r="W11" s="476"/>
      <c r="X11" s="476" t="s">
        <v>464</v>
      </c>
      <c r="Y11" s="476"/>
      <c r="Z11" s="476"/>
      <c r="AA11" s="476">
        <v>1</v>
      </c>
      <c r="AB11" s="476"/>
      <c r="AC11" s="476"/>
      <c r="AD11" s="476"/>
      <c r="AE11" s="476"/>
      <c r="AF11" s="476"/>
      <c r="AG11" s="476"/>
      <c r="AH11" s="476"/>
      <c r="AI11" s="478"/>
    </row>
    <row r="12" spans="1:35" ht="24" customHeight="1">
      <c r="A12" s="498" t="str">
        <f t="shared" si="2"/>
        <v>Cl2</v>
      </c>
      <c r="B12" s="510">
        <f ca="1">IF(TODAY()&lt;38899,ROUND(B44*ПГ!$F$2,1),0)</f>
        <v>0</v>
      </c>
      <c r="C12" s="506">
        <f>ROUND(C44*ПГ!$F$2,-1)</f>
        <v>8410</v>
      </c>
      <c r="D12" s="507">
        <f>ROUND(D44*ПГ!$F$2,-1)</f>
        <v>8410</v>
      </c>
      <c r="E12" s="506">
        <f>ROUND(E44*ПГ!$F$2,-1)</f>
        <v>9620</v>
      </c>
      <c r="F12" s="507">
        <f>ROUND(F44*ПГ!$F$2,-1)</f>
        <v>9620</v>
      </c>
      <c r="G12" s="508">
        <v>2</v>
      </c>
      <c r="H12" s="520" t="str">
        <f>H43</f>
        <v>(перечень газов)</v>
      </c>
      <c r="I12" s="521" t="str">
        <f>I43</f>
        <v>на 01.05.2016</v>
      </c>
      <c r="N12" s="475" t="s">
        <v>465</v>
      </c>
      <c r="O12" s="475">
        <f t="shared" si="1"/>
        <v>10</v>
      </c>
      <c r="P12" s="476"/>
      <c r="Q12" s="476"/>
      <c r="R12" s="476"/>
      <c r="S12" s="476"/>
      <c r="T12" s="476"/>
      <c r="U12" s="476"/>
      <c r="V12" s="476"/>
      <c r="W12" s="476"/>
      <c r="X12" s="476"/>
      <c r="Y12" s="476" t="s">
        <v>465</v>
      </c>
      <c r="Z12" s="476"/>
      <c r="AA12" s="476"/>
      <c r="AB12" s="476"/>
      <c r="AC12" s="476"/>
      <c r="AD12" s="476"/>
      <c r="AE12" s="476"/>
      <c r="AF12" s="476"/>
      <c r="AG12" s="476"/>
      <c r="AH12" s="476"/>
      <c r="AI12" s="478"/>
    </row>
    <row r="13" spans="1:35" ht="40.5" customHeight="1" thickBot="1">
      <c r="A13" s="498" t="str">
        <f t="shared" si="2"/>
        <v>CO</v>
      </c>
      <c r="B13" s="510">
        <f ca="1">IF(TODAY()&lt;38899,ROUND(B45*ПГ!$F$2,1),0)</f>
        <v>0</v>
      </c>
      <c r="C13" s="506">
        <f>ROUND(C45*ПГ!$F$2,-1)</f>
        <v>8860</v>
      </c>
      <c r="D13" s="507">
        <f>ROUND(D45*ПГ!$F$2,-1)</f>
        <v>8860</v>
      </c>
      <c r="E13" s="506">
        <f>ROUND(E45*ПГ!$F$2,-1)</f>
        <v>4670</v>
      </c>
      <c r="F13" s="507">
        <f>ROUND(F45*ПГ!$F$2,-1)</f>
        <v>4670</v>
      </c>
      <c r="G13" s="508">
        <v>2</v>
      </c>
      <c r="H13" s="520" t="str">
        <f>H44</f>
        <v>O2</v>
      </c>
      <c r="I13" s="521">
        <f>ROUND(I44*ПГ!$F$2,-1)</f>
        <v>96100</v>
      </c>
      <c r="N13" s="490" t="s">
        <v>466</v>
      </c>
      <c r="O13" s="475">
        <f t="shared" si="1"/>
        <v>11</v>
      </c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7" t="s">
        <v>467</v>
      </c>
      <c r="AA13" s="476"/>
      <c r="AB13" s="476"/>
      <c r="AC13" s="476"/>
      <c r="AD13" s="476"/>
      <c r="AE13" s="476"/>
      <c r="AF13" s="476"/>
      <c r="AG13" s="476"/>
      <c r="AH13" s="476"/>
      <c r="AI13" s="478"/>
    </row>
    <row r="14" spans="1:35" ht="12.75">
      <c r="A14" s="498" t="str">
        <f t="shared" si="2"/>
        <v>CO как горючий</v>
      </c>
      <c r="B14" s="505">
        <f ca="1">IF(TODAY()&lt;38899,ROUND(B46*ПГ!$F$2,1),0)</f>
        <v>0</v>
      </c>
      <c r="C14" s="506">
        <f>ROUND(C46*ПГ!$F$2,-1)</f>
        <v>8060</v>
      </c>
      <c r="D14" s="507">
        <f>ROUND(D46*ПГ!$F$2,-1)</f>
        <v>8060</v>
      </c>
      <c r="E14" s="506">
        <f>ROUND(E46*ПГ!$F$2,-1)</f>
        <v>4580</v>
      </c>
      <c r="F14" s="507">
        <f>ROUND(F46*ПГ!$F$2,-1)</f>
        <v>4580</v>
      </c>
      <c r="G14" s="508">
        <v>2</v>
      </c>
      <c r="H14" s="520" t="str">
        <f>H45</f>
        <v>O2, CO</v>
      </c>
      <c r="I14" s="521">
        <f>ROUND(I45*ПГ!$F$2,-1)</f>
        <v>187380</v>
      </c>
      <c r="K14" s="482" t="s">
        <v>270</v>
      </c>
      <c r="L14" s="511" t="s">
        <v>468</v>
      </c>
      <c r="N14" s="475" t="s">
        <v>377</v>
      </c>
      <c r="O14" s="475">
        <f t="shared" si="1"/>
        <v>12</v>
      </c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 t="s">
        <v>377</v>
      </c>
      <c r="AB14" s="476"/>
      <c r="AC14" s="476"/>
      <c r="AD14" s="476"/>
      <c r="AE14" s="476"/>
      <c r="AF14" s="476"/>
      <c r="AG14" s="476"/>
      <c r="AH14" s="476"/>
      <c r="AI14" s="478"/>
    </row>
    <row r="15" spans="1:35" ht="13.5" thickBot="1">
      <c r="A15" s="498" t="str">
        <f t="shared" si="2"/>
        <v>CO+CH4</v>
      </c>
      <c r="B15" s="512"/>
      <c r="C15" s="512">
        <f>ROUND(C47*ПГ!$F$2,-1)</f>
        <v>0</v>
      </c>
      <c r="D15" s="512">
        <f>ROUND(D47*ПГ!$F$2,-1)</f>
        <v>0</v>
      </c>
      <c r="E15" s="506">
        <f>ROUND(E47*ПГ!$F$2,-1)</f>
        <v>6540</v>
      </c>
      <c r="F15" s="507">
        <f>ROUND(F47*ПГ!$F$2,-1)</f>
        <v>6540</v>
      </c>
      <c r="G15" s="512"/>
      <c r="H15" s="520" t="str">
        <f>H46</f>
        <v>O2, CO, NO</v>
      </c>
      <c r="I15" s="521">
        <f>ROUND(I46*ПГ!$F$2,-1)</f>
        <v>216220</v>
      </c>
      <c r="K15" s="321" t="s">
        <v>469</v>
      </c>
      <c r="L15" s="513" t="s">
        <v>470</v>
      </c>
      <c r="N15" s="475" t="s">
        <v>471</v>
      </c>
      <c r="O15" s="475">
        <f t="shared" si="1"/>
        <v>13</v>
      </c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 t="s">
        <v>471</v>
      </c>
      <c r="AC15" s="476"/>
      <c r="AD15" s="476"/>
      <c r="AE15" s="476"/>
      <c r="AF15" s="476"/>
      <c r="AG15" s="476"/>
      <c r="AH15" s="476"/>
      <c r="AI15" s="478"/>
    </row>
    <row r="16" spans="1:35" ht="13.5" thickBot="1">
      <c r="A16" s="498" t="str">
        <f t="shared" si="2"/>
        <v>CO+гор.газ</v>
      </c>
      <c r="B16" s="512"/>
      <c r="C16" s="512">
        <f>ROUND(C48*ПГ!$F$2,-1)</f>
        <v>0</v>
      </c>
      <c r="D16" s="512">
        <f>ROUND(D48*ПГ!$F$2,-1)</f>
        <v>0</v>
      </c>
      <c r="E16" s="506">
        <f>ROUND(E48*ПГ!$F$2,-1)</f>
        <v>6540</v>
      </c>
      <c r="F16" s="507">
        <f>ROUND(F48*ПГ!$F$2,-1)</f>
        <v>6540</v>
      </c>
      <c r="G16" s="512"/>
      <c r="H16" s="520" t="str">
        <f>H47</f>
        <v>O2, NO</v>
      </c>
      <c r="I16" s="521">
        <f>ROUND(I47*ПГ!$F$2,-1)</f>
        <v>156160</v>
      </c>
      <c r="K16" s="514" t="str">
        <f aca="true" t="shared" si="3" ref="K16:K28">K47</f>
        <v>Аммиак</v>
      </c>
      <c r="L16" s="515">
        <f>ROUND(L47*ПГ!$F$2,-1)</f>
        <v>3700</v>
      </c>
      <c r="M16" s="515">
        <f>ROUND(M47*ПГ!$F$2,-1)</f>
        <v>6670</v>
      </c>
      <c r="N16" s="475" t="s">
        <v>48</v>
      </c>
      <c r="O16" s="475">
        <f t="shared" si="1"/>
        <v>14</v>
      </c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>
        <v>1</v>
      </c>
      <c r="AC16" s="476" t="s">
        <v>48</v>
      </c>
      <c r="AD16" s="476"/>
      <c r="AE16" s="476"/>
      <c r="AF16" s="476"/>
      <c r="AG16" s="476"/>
      <c r="AH16" s="476"/>
      <c r="AI16" s="478">
        <v>1</v>
      </c>
    </row>
    <row r="17" spans="1:35" ht="25.5">
      <c r="A17" s="516" t="str">
        <f t="shared" si="2"/>
        <v>CO2</v>
      </c>
      <c r="B17" s="510">
        <f ca="1">IF(TODAY()&lt;38899,ROUND(B49*ПГ!$F$2,1),0)</f>
        <v>0</v>
      </c>
      <c r="C17" s="506">
        <f>ROUND(C49*ПГ!$F$2,-1)</f>
        <v>18880</v>
      </c>
      <c r="D17" s="507">
        <f>ROUND(D49*ПГ!$F$2,-1)</f>
        <v>18880</v>
      </c>
      <c r="E17" s="506">
        <f>ROUND(E49*ПГ!$F$2,-1)</f>
        <v>9490</v>
      </c>
      <c r="F17" s="507">
        <f>ROUND(F49*ПГ!$F$2,-1)</f>
        <v>9490</v>
      </c>
      <c r="G17" s="508">
        <v>1</v>
      </c>
      <c r="J17" s="519"/>
      <c r="K17" s="514" t="str">
        <f t="shared" si="3"/>
        <v>Диоксид азота</v>
      </c>
      <c r="L17" s="515">
        <f>ROUND(L48*ПГ!$F$2,-1)</f>
        <v>3700</v>
      </c>
      <c r="M17" s="515">
        <f>ROUND(M48*ПГ!$F$2,-1)</f>
        <v>0</v>
      </c>
      <c r="N17" s="475" t="s">
        <v>117</v>
      </c>
      <c r="O17" s="475">
        <f t="shared" si="1"/>
        <v>15</v>
      </c>
      <c r="P17" s="476"/>
      <c r="Q17" s="476"/>
      <c r="R17" s="476"/>
      <c r="S17" s="476"/>
      <c r="T17" s="476"/>
      <c r="U17" s="476"/>
      <c r="V17" s="476">
        <v>1</v>
      </c>
      <c r="W17" s="476"/>
      <c r="X17" s="476"/>
      <c r="Y17" s="476"/>
      <c r="Z17" s="476"/>
      <c r="AA17" s="476"/>
      <c r="AB17" s="476">
        <v>1</v>
      </c>
      <c r="AC17" s="476">
        <v>1</v>
      </c>
      <c r="AD17" s="476" t="s">
        <v>117</v>
      </c>
      <c r="AE17" s="476"/>
      <c r="AF17" s="476"/>
      <c r="AG17" s="476"/>
      <c r="AH17" s="476"/>
      <c r="AI17" s="478">
        <v>1</v>
      </c>
    </row>
    <row r="18" spans="1:35" ht="54.75" customHeight="1">
      <c r="A18" s="498" t="str">
        <f t="shared" si="2"/>
        <v>F2</v>
      </c>
      <c r="B18" s="510">
        <f ca="1">IF(TODAY()&lt;38899,ROUND(B50*ПГ!$F$2,1),0)</f>
        <v>0</v>
      </c>
      <c r="C18" s="506">
        <f>ROUND(C50*ПГ!$F$2,-1)</f>
        <v>21070</v>
      </c>
      <c r="D18" s="507">
        <f>ROUND(D50*ПГ!$F$2,-1)</f>
        <v>15560</v>
      </c>
      <c r="E18" s="506">
        <f>ROUND(E50*ПГ!$F$2,-1)</f>
        <v>9960</v>
      </c>
      <c r="F18" s="507">
        <f>ROUND(F50*ПГ!$F$2,-1)</f>
        <v>9960</v>
      </c>
      <c r="G18" s="508">
        <v>2</v>
      </c>
      <c r="H18" s="524" t="str">
        <f>H49</f>
        <v>Анализатор остаточного активного хлора в воде ВАКХ-2000</v>
      </c>
      <c r="I18" s="521">
        <f>ROUND(I49*ПГ!$F$2,-1)</f>
        <v>41710</v>
      </c>
      <c r="K18" s="520" t="str">
        <f t="shared" si="3"/>
        <v>Диоксид серы</v>
      </c>
      <c r="L18" s="521">
        <f>ROUND(L49*ПГ!$F$2,-1)</f>
        <v>3700</v>
      </c>
      <c r="M18" s="521">
        <f>ROUND(M49*ПГ!$F$2,-1)</f>
        <v>0</v>
      </c>
      <c r="N18" s="475" t="s">
        <v>472</v>
      </c>
      <c r="O18" s="475">
        <f t="shared" si="1"/>
        <v>16</v>
      </c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 t="s">
        <v>472</v>
      </c>
      <c r="AF18" s="476"/>
      <c r="AG18" s="476"/>
      <c r="AH18" s="476"/>
      <c r="AI18" s="478"/>
    </row>
    <row r="19" spans="1:35" ht="96">
      <c r="A19" s="498" t="str">
        <f t="shared" si="2"/>
        <v>H2</v>
      </c>
      <c r="B19" s="523">
        <f ca="1">IF(TODAY()&lt;38899,ROUND(B51*ПГ!$F$2,1),0)</f>
        <v>0</v>
      </c>
      <c r="C19" s="506">
        <f>ROUND(C51*ПГ!$F$2,-1)</f>
        <v>8060</v>
      </c>
      <c r="D19" s="507">
        <f>ROUND(D51*ПГ!$F$2,-1)</f>
        <v>8060</v>
      </c>
      <c r="E19" s="506">
        <f>ROUND(E51*ПГ!$F$2,-1)</f>
        <v>4580</v>
      </c>
      <c r="F19" s="507">
        <f>ROUND(F51*ПГ!$F$2,-1)</f>
        <v>4580</v>
      </c>
      <c r="G19" s="508">
        <v>2</v>
      </c>
      <c r="H19" s="524" t="str">
        <f>H50</f>
        <v>Анализатор остаточного активного хлора в воде ВАКХ-2000С, стационарный, лабораторный, полуавтоматический</v>
      </c>
      <c r="I19" s="521">
        <f>ROUND(I50*ПГ!$F$2,-1)</f>
        <v>53450</v>
      </c>
      <c r="J19" s="519"/>
      <c r="K19" s="520" t="str">
        <f t="shared" si="3"/>
        <v>Кислород</v>
      </c>
      <c r="L19" s="521">
        <f>ROUND(L50*ПГ!$F$2,-1)</f>
        <v>3700</v>
      </c>
      <c r="M19" s="521">
        <f>ROUND(M50*ПГ!$F$2,-1)</f>
        <v>0</v>
      </c>
      <c r="N19" s="475" t="s">
        <v>473</v>
      </c>
      <c r="O19" s="475">
        <f t="shared" si="1"/>
        <v>17</v>
      </c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>
        <v>1</v>
      </c>
      <c r="AC19" s="476">
        <v>1</v>
      </c>
      <c r="AD19" s="476"/>
      <c r="AE19" s="476"/>
      <c r="AF19" s="476" t="s">
        <v>473</v>
      </c>
      <c r="AG19" s="476"/>
      <c r="AH19" s="476"/>
      <c r="AI19" s="478">
        <v>1</v>
      </c>
    </row>
    <row r="20" spans="1:35" ht="65.25" customHeight="1">
      <c r="A20" s="498" t="str">
        <f t="shared" si="2"/>
        <v>H2S</v>
      </c>
      <c r="B20" s="510">
        <f ca="1">IF(TODAY()&lt;38899,ROUND(B52*ПГ!$F$2,1),0)</f>
        <v>0</v>
      </c>
      <c r="C20" s="506">
        <f>ROUND(C52*ПГ!$F$2,-1)</f>
        <v>8900</v>
      </c>
      <c r="D20" s="507">
        <f>ROUND(D52*ПГ!$F$2,-1)</f>
        <v>8900</v>
      </c>
      <c r="E20" s="506">
        <f>ROUND(E52*ПГ!$F$2,-1)</f>
        <v>9620</v>
      </c>
      <c r="F20" s="507">
        <f>ROUND(F52*ПГ!$F$2,-1)</f>
        <v>9620</v>
      </c>
      <c r="G20" s="508">
        <v>1</v>
      </c>
      <c r="H20" s="524" t="str">
        <f>H51</f>
        <v>Анализатор остаточного активного хлора в воде ВАКХ-2000С, стационарный, проточный, автоматический</v>
      </c>
      <c r="I20" s="521">
        <f>ROUND(I51*ПГ!$F$2,-1)</f>
        <v>107570</v>
      </c>
      <c r="J20" s="519"/>
      <c r="K20" s="520" t="str">
        <f t="shared" si="3"/>
        <v>Метан и др. горючие газы</v>
      </c>
      <c r="L20" s="521">
        <f>ROUND(L51*ПГ!$F$2,-1)</f>
        <v>1870</v>
      </c>
      <c r="M20" s="521">
        <f>ROUND(M51*ПГ!$F$2,-1)</f>
        <v>0</v>
      </c>
      <c r="N20" s="475" t="s">
        <v>474</v>
      </c>
      <c r="O20" s="475">
        <f t="shared" si="1"/>
        <v>18</v>
      </c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 t="s">
        <v>474</v>
      </c>
      <c r="AH20" s="476"/>
      <c r="AI20" s="478"/>
    </row>
    <row r="21" spans="1:35" ht="20.25" customHeight="1" thickBot="1">
      <c r="A21" s="498" t="str">
        <f t="shared" si="2"/>
        <v>HCl</v>
      </c>
      <c r="B21" s="505">
        <f ca="1">IF(TODAY()&lt;38899,ROUND(B53*ПГ!$F$2,1),0)</f>
        <v>0</v>
      </c>
      <c r="C21" s="506">
        <f>ROUND(C53*ПГ!$F$2,-1)</f>
        <v>19770</v>
      </c>
      <c r="D21" s="525">
        <f>ROUND(D53*ПГ!$F$2,-1)</f>
        <v>0</v>
      </c>
      <c r="E21" s="506">
        <f>ROUND(E53*ПГ!$F$2,-1)</f>
        <v>9960</v>
      </c>
      <c r="F21" s="525">
        <f>ROUND(F53*ПГ!$F$2,-1)</f>
        <v>0</v>
      </c>
      <c r="G21" s="274">
        <v>1</v>
      </c>
      <c r="J21" s="519"/>
      <c r="K21" s="520" t="str">
        <f t="shared" si="3"/>
        <v>Сероводород</v>
      </c>
      <c r="L21" s="521">
        <f>ROUND(L52*ПГ!$F$2,-1)</f>
        <v>3700</v>
      </c>
      <c r="M21" s="521">
        <f>ROUND(M52*ПГ!$F$2,-1)</f>
        <v>0</v>
      </c>
      <c r="N21" s="476" t="s">
        <v>475</v>
      </c>
      <c r="O21" s="475">
        <f t="shared" si="1"/>
        <v>19</v>
      </c>
      <c r="P21" s="476"/>
      <c r="Q21" s="476"/>
      <c r="R21" s="476"/>
      <c r="S21" s="476"/>
      <c r="T21" s="476"/>
      <c r="U21" s="476"/>
      <c r="V21" s="476">
        <v>1</v>
      </c>
      <c r="W21" s="476"/>
      <c r="X21" s="476"/>
      <c r="Y21" s="476"/>
      <c r="Z21" s="476"/>
      <c r="AA21" s="476"/>
      <c r="AB21" s="476"/>
      <c r="AC21" s="476"/>
      <c r="AD21" s="476"/>
      <c r="AE21" s="476"/>
      <c r="AF21" s="476">
        <v>1</v>
      </c>
      <c r="AG21" s="476"/>
      <c r="AH21" s="476" t="s">
        <v>475</v>
      </c>
      <c r="AI21" s="478"/>
    </row>
    <row r="22" spans="1:35" ht="54.75" customHeight="1" thickBot="1">
      <c r="A22" s="498" t="str">
        <f t="shared" si="2"/>
        <v>HF</v>
      </c>
      <c r="B22" s="510">
        <f ca="1">IF(TODAY()&lt;38899,ROUND(B54*ПГ!$F$2,1),0)</f>
        <v>0</v>
      </c>
      <c r="C22" s="506">
        <f>ROUND(C54*ПГ!$F$2,-1)</f>
        <v>22940</v>
      </c>
      <c r="D22" s="507">
        <f>ROUND(D54*ПГ!$F$2,-1)</f>
        <v>22940</v>
      </c>
      <c r="E22" s="506">
        <f>ROUND(E54*ПГ!$F$2,-1)</f>
        <v>9960</v>
      </c>
      <c r="F22" s="507">
        <f>ROUND(F54*ПГ!$F$2,-1)</f>
        <v>9960</v>
      </c>
      <c r="G22" s="274">
        <v>2</v>
      </c>
      <c r="H22" s="524" t="str">
        <f>H53</f>
        <v>Анализатор элементного состава "ТОПАЗ-C" с управляющим компьютером</v>
      </c>
      <c r="I22" s="526">
        <f>ROUND(I53*ПГ!$F$2,-1)</f>
        <v>567490</v>
      </c>
      <c r="J22" s="519"/>
      <c r="K22" s="520" t="str">
        <f t="shared" si="3"/>
        <v>Угарный газ</v>
      </c>
      <c r="L22" s="521">
        <f>ROUND(L53*ПГ!$F$2,-1)</f>
        <v>3700</v>
      </c>
      <c r="M22" s="521">
        <f>ROUND(M53*ПГ!$F$2,-1)</f>
        <v>6670</v>
      </c>
      <c r="N22" s="527" t="s">
        <v>267</v>
      </c>
      <c r="O22" s="527">
        <f t="shared" si="1"/>
        <v>20</v>
      </c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>
        <v>1</v>
      </c>
      <c r="AB22" s="528">
        <v>1</v>
      </c>
      <c r="AC22" s="528">
        <v>1</v>
      </c>
      <c r="AD22" s="528"/>
      <c r="AE22" s="528"/>
      <c r="AF22" s="528"/>
      <c r="AG22" s="528"/>
      <c r="AH22" s="528"/>
      <c r="AI22" s="529" t="s">
        <v>267</v>
      </c>
    </row>
    <row r="23" spans="1:13" ht="52.5" customHeight="1" thickBot="1">
      <c r="A23" s="498" t="str">
        <f t="shared" si="2"/>
        <v>NH3</v>
      </c>
      <c r="B23" s="510">
        <f ca="1">IF(TODAY()&lt;38899,ROUND(B55*ПГ!$F$2,1),0)</f>
        <v>0</v>
      </c>
      <c r="C23" s="506">
        <f>ROUND(C55*ПГ!$F$2,-1)</f>
        <v>9940</v>
      </c>
      <c r="D23" s="507">
        <f>ROUND(D55*ПГ!$F$2,-1)</f>
        <v>9940</v>
      </c>
      <c r="E23" s="506">
        <f>ROUND(E55*ПГ!$F$2,-1)</f>
        <v>9620</v>
      </c>
      <c r="F23" s="507">
        <f>ROUND(F55*ПГ!$F$2,-1)</f>
        <v>9620</v>
      </c>
      <c r="G23" s="274">
        <v>3</v>
      </c>
      <c r="H23" s="524" t="str">
        <f>H54</f>
        <v>Анализатор элементного состава "ТОПАЗ-N" с управляющим компьютером</v>
      </c>
      <c r="I23" s="530">
        <f>ROUND(I54*ПГ!$F$2,-1)</f>
        <v>592220</v>
      </c>
      <c r="J23" s="519"/>
      <c r="K23" s="520" t="str">
        <f t="shared" si="3"/>
        <v>Фтор</v>
      </c>
      <c r="L23" s="521">
        <f>ROUND(L54*ПГ!$F$2,-1)</f>
        <v>5500</v>
      </c>
      <c r="M23" s="521">
        <f>ROUND(M54*ПГ!$F$2,-1)</f>
        <v>0</v>
      </c>
    </row>
    <row r="24" spans="1:16" ht="63" customHeight="1" thickBot="1">
      <c r="A24" s="498" t="str">
        <f t="shared" si="2"/>
        <v>NO2</v>
      </c>
      <c r="B24" s="505">
        <f ca="1">IF(TODAY()&lt;38899,ROUND(B56*ПГ!$F$2,1),0)</f>
        <v>0</v>
      </c>
      <c r="C24" s="531">
        <f>ROUND(C56*ПГ!$F$2,-1)</f>
        <v>11980</v>
      </c>
      <c r="D24" s="532">
        <f>ROUND(D56*ПГ!$F$2,-1)</f>
        <v>0</v>
      </c>
      <c r="E24" s="531">
        <f>ROUND(E56*ПГ!$F$2,-1)</f>
        <v>9960</v>
      </c>
      <c r="F24" s="532">
        <f>ROUND(F56*ПГ!$F$2,-1)</f>
        <v>0</v>
      </c>
      <c r="G24" s="274">
        <v>1</v>
      </c>
      <c r="H24" s="524" t="str">
        <f>H55</f>
        <v>Анализатор элементного состава "ТОПАЗ-NC" с управляющим компьютером</v>
      </c>
      <c r="I24" s="533">
        <f>ROUND(I55*ПГ!$F$2,-1)</f>
        <v>752480</v>
      </c>
      <c r="K24" s="520" t="str">
        <f t="shared" si="3"/>
        <v>Фтористый водород</v>
      </c>
      <c r="L24" s="521">
        <f>ROUND(L55*ПГ!$F$2,-1)</f>
        <v>5500</v>
      </c>
      <c r="M24" s="521">
        <f>ROUND(M55*ПГ!$F$2,-1)</f>
        <v>8460</v>
      </c>
      <c r="O24" s="487" t="str">
        <f aca="true" t="shared" si="4" ref="O24:O35">O38</f>
        <v>Оптима</v>
      </c>
      <c r="P24" s="488" t="s">
        <v>456</v>
      </c>
    </row>
    <row r="25" spans="1:16" ht="13.5" thickBot="1">
      <c r="A25" s="498" t="str">
        <f t="shared" si="2"/>
        <v>O2</v>
      </c>
      <c r="B25" s="534">
        <f ca="1">IF(TODAY()&lt;38899,ROUND(B57*ПГ!$F$2,1),0)</f>
        <v>0</v>
      </c>
      <c r="C25" s="506">
        <f>ROUND(C57*ПГ!$F$2,-1)</f>
        <v>9210</v>
      </c>
      <c r="D25" s="507">
        <f>ROUND(D57*ПГ!$F$2,-1)</f>
        <v>9210</v>
      </c>
      <c r="E25" s="506">
        <f>ROUND(E57*ПГ!$F$2,-1)</f>
        <v>9960</v>
      </c>
      <c r="F25" s="507">
        <f>ROUND(F57*ПГ!$F$2,-1)</f>
        <v>9960</v>
      </c>
      <c r="G25" s="274">
        <v>1</v>
      </c>
      <c r="H25" s="522"/>
      <c r="J25" s="519"/>
      <c r="K25" s="520" t="str">
        <f t="shared" si="3"/>
        <v>Хлор</v>
      </c>
      <c r="L25" s="521">
        <f>ROUND(L56*ПГ!$F$2,-1)</f>
        <v>3700</v>
      </c>
      <c r="M25" s="521">
        <f>ROUND(M56*ПГ!$F$2,-1)</f>
        <v>0</v>
      </c>
      <c r="O25" s="496" t="str">
        <f t="shared" si="4"/>
        <v>(перечень газов)</v>
      </c>
      <c r="P25" s="497" t="s">
        <v>460</v>
      </c>
    </row>
    <row r="26" spans="1:16" ht="36.75" thickBot="1">
      <c r="A26" s="498" t="str">
        <f t="shared" si="2"/>
        <v>O3</v>
      </c>
      <c r="B26" s="534">
        <f ca="1">IF(TODAY()&lt;38899,ROUND(B58*ПГ!$F$2,1),0)</f>
        <v>0</v>
      </c>
      <c r="C26" s="535">
        <f>ROUND(C58*ПГ!$F$2,-1)</f>
        <v>0</v>
      </c>
      <c r="D26" s="536">
        <f>ROUND(D58*ПГ!$F$2,-1)</f>
        <v>9720</v>
      </c>
      <c r="E26" s="535">
        <f>ROUND(E58*ПГ!$F$2,-1)</f>
        <v>0</v>
      </c>
      <c r="F26" s="536">
        <f>ROUND(F58*ПГ!$F$2,-1)</f>
        <v>9240</v>
      </c>
      <c r="G26" s="274">
        <v>1</v>
      </c>
      <c r="H26" s="543" t="str">
        <f aca="true" t="shared" si="5" ref="H26:H35">H57</f>
        <v>Генератор ПГСМ "ИНФАН ГР-_" k=2500</v>
      </c>
      <c r="I26" s="538">
        <f>ROUND(I57*ПГ!$F$2,-1)</f>
        <v>357340</v>
      </c>
      <c r="J26" s="811">
        <v>42156</v>
      </c>
      <c r="K26" s="520" t="str">
        <f t="shared" si="3"/>
        <v>Хлористый водород</v>
      </c>
      <c r="L26" s="521">
        <f>ROUND(L57*ПГ!$F$2,-1)</f>
        <v>5500</v>
      </c>
      <c r="M26" s="521">
        <f>ROUND(M57*ПГ!$F$2,-1)</f>
        <v>0</v>
      </c>
      <c r="O26" s="503" t="str">
        <f t="shared" si="4"/>
        <v>O2</v>
      </c>
      <c r="P26" s="504">
        <f>ROUND(P40*ПГ!$F$2,-1)</f>
        <v>48380</v>
      </c>
    </row>
    <row r="27" spans="1:16" ht="36.75" thickBot="1">
      <c r="A27" s="539" t="str">
        <f t="shared" si="2"/>
        <v>SO2</v>
      </c>
      <c r="B27" s="540">
        <f ca="1">IF(TODAY()&lt;38899,ROUND(B59*ПГ!$F$2,1),0)</f>
        <v>0</v>
      </c>
      <c r="C27" s="541">
        <f>ROUND(C59*ПГ!$F$2,-1)</f>
        <v>9210</v>
      </c>
      <c r="D27" s="542">
        <f>ROUND(D59*ПГ!$F$2,-1)</f>
        <v>9210</v>
      </c>
      <c r="E27" s="541">
        <f>ROUND(E59*ПГ!$F$2,-1)</f>
        <v>9960</v>
      </c>
      <c r="F27" s="542">
        <f>ROUND(F59*ПГ!$F$2,-1)</f>
        <v>9960</v>
      </c>
      <c r="G27" s="312">
        <v>1</v>
      </c>
      <c r="H27" s="543" t="str">
        <f t="shared" si="5"/>
        <v>Генератор ПГСМ "ИНФАН ГР-_" k=450</v>
      </c>
      <c r="I27" s="538">
        <f>ROUND(I58*ПГ!$F$2,-1)</f>
        <v>314030</v>
      </c>
      <c r="J27" s="519"/>
      <c r="K27" s="520" t="str">
        <f t="shared" si="3"/>
        <v>Цианистый водород</v>
      </c>
      <c r="L27" s="521">
        <f>ROUND(L58*ПГ!$F$2,-1)</f>
        <v>12000</v>
      </c>
      <c r="M27" s="521">
        <f>ROUND(M58*ПГ!$F$2,-1)</f>
        <v>0</v>
      </c>
      <c r="O27" s="509" t="str">
        <f t="shared" si="4"/>
        <v>O2, CH4</v>
      </c>
      <c r="P27" s="489">
        <f>ROUND(P41*ПГ!$F$2,-1)</f>
        <v>78620</v>
      </c>
    </row>
    <row r="28" spans="2:16" ht="35.25" customHeight="1" thickBot="1">
      <c r="B28" s="544" t="str">
        <f>B60</f>
        <v>БР-10, динрельс</v>
      </c>
      <c r="C28" s="545">
        <f>ROUND(C60*ПГ!$F$2,-1)</f>
        <v>1950</v>
      </c>
      <c r="D28" s="546">
        <f>ROUND(D60*ПГ!$F$2,-1)</f>
        <v>1950</v>
      </c>
      <c r="H28" s="543" t="str">
        <f t="shared" si="5"/>
        <v>Генератор ПГСМ "ИНФАН ГР-_" k=50</v>
      </c>
      <c r="I28" s="538">
        <f>ROUND(I59*ПГ!$F$2,-1)</f>
        <v>270710</v>
      </c>
      <c r="J28" s="519"/>
      <c r="K28" s="537" t="str">
        <f t="shared" si="3"/>
        <v>Ячейка генератора ГХ-120</v>
      </c>
      <c r="L28" s="538">
        <f>ROUND(L59*ПГ!$F$2,-1)</f>
        <v>3750</v>
      </c>
      <c r="M28" s="538">
        <f>ROUND(M58*ПГ!$F$2,-1)</f>
        <v>0</v>
      </c>
      <c r="O28" s="509" t="str">
        <f t="shared" si="4"/>
        <v>O2, CO</v>
      </c>
      <c r="P28" s="489">
        <f>ROUND(P42*ПГ!$F$2,-1)</f>
        <v>108860</v>
      </c>
    </row>
    <row r="29" spans="2:16" ht="38.25" customHeight="1" thickBot="1">
      <c r="B29" s="547" t="str">
        <f>B61</f>
        <v>блок искрозащиты</v>
      </c>
      <c r="C29" s="548"/>
      <c r="D29" s="546">
        <f>ROUND(D61*ПГ!$F$2,-1)</f>
        <v>2840</v>
      </c>
      <c r="H29" s="543" t="str">
        <f t="shared" si="5"/>
        <v>Генератор ПГСМ "ИНФАН ФХГ-HCl "</v>
      </c>
      <c r="I29" s="538">
        <f>ROUND(I60*ПГ!$F$2,-1)</f>
        <v>604500</v>
      </c>
      <c r="J29" s="519"/>
      <c r="M29" s="1"/>
      <c r="O29" s="509" t="str">
        <f t="shared" si="4"/>
        <v>O2, CO, CH4</v>
      </c>
      <c r="P29" s="489">
        <f>ROUND(P43*ПГ!$F$2,-1)</f>
        <v>123970</v>
      </c>
    </row>
    <row r="30" spans="2:16" ht="90" thickBot="1">
      <c r="B30" s="547" t="str">
        <f>B62</f>
        <v>блок БППН</v>
      </c>
      <c r="C30" s="549"/>
      <c r="D30" s="550">
        <f>ROUND(D62*ПГ!$F$2,-1)</f>
        <v>4190</v>
      </c>
      <c r="H30" s="543" t="str">
        <f t="shared" si="5"/>
        <v>Генератор ПГСМ "ИНФАН ФХГ-HCl ЭХГР-Cl2"</v>
      </c>
      <c r="I30" s="538">
        <f>ROUND(I61*ПГ!$F$2,-1)</f>
        <v>794500</v>
      </c>
      <c r="J30" s="519"/>
      <c r="K30" s="514" t="str">
        <f>K61</f>
        <v>Адаптер для поверки газоанализаторов ОКАМ, ОКА92М, ОКА92Т</v>
      </c>
      <c r="L30" s="515">
        <f>ROUND(L61*ПГ!$F$2,-1)</f>
        <v>560</v>
      </c>
      <c r="M30" s="1"/>
      <c r="O30" s="509" t="str">
        <f t="shared" si="4"/>
        <v>O2, CO, NO</v>
      </c>
      <c r="P30" s="489">
        <f>ROUND(P44*ПГ!$F$2,-1)</f>
        <v>139090</v>
      </c>
    </row>
    <row r="31" spans="2:16" ht="39" thickBot="1">
      <c r="B31" s="547" t="str">
        <f>B63</f>
        <v>наценка на моноблок</v>
      </c>
      <c r="D31" s="550">
        <f>ROUND(D63*ПГ!$F$2,-1)</f>
        <v>1100</v>
      </c>
      <c r="H31" s="543" t="str">
        <f t="shared" si="5"/>
        <v>Генератор ПГСМ "ИНФАН ЭХГР-Cl2"</v>
      </c>
      <c r="I31" s="538">
        <f>ROUND(I62*ПГ!$F$2,-1)</f>
        <v>380130</v>
      </c>
      <c r="J31" s="519"/>
      <c r="K31" s="520" t="str">
        <f>K62</f>
        <v>Аккумуляторная батарея 9В</v>
      </c>
      <c r="L31" s="521">
        <f>ROUND(L62*ПГ!$F$2,-1)</f>
        <v>270</v>
      </c>
      <c r="M31" s="1"/>
      <c r="O31" s="509" t="str">
        <f t="shared" si="4"/>
        <v>O2, CO, NO, CH4</v>
      </c>
      <c r="P31" s="489">
        <f>ROUND(P45*ПГ!$F$2,-1)</f>
        <v>214690</v>
      </c>
    </row>
    <row r="32" spans="2:16" ht="36.75" thickBot="1">
      <c r="B32" s="547" t="str">
        <f>B64</f>
        <v>блок коммутации/управления</v>
      </c>
      <c r="D32" s="550">
        <f>ROUND(D64*ПГ!$F$2,-1)</f>
        <v>9870</v>
      </c>
      <c r="H32" s="543" t="str">
        <f t="shared" si="5"/>
        <v>Генератор ПГСМ "ИНФАН ЭХГР-HCN"</v>
      </c>
      <c r="I32" s="538">
        <f>ROUND(I63*ПГ!$F$2,-1)</f>
        <v>604500</v>
      </c>
      <c r="K32" s="537" t="str">
        <f>K63</f>
        <v>Зарядное устройство</v>
      </c>
      <c r="L32" s="538">
        <f>ROUND(L63*ПГ!$F$2,-1)</f>
        <v>440</v>
      </c>
      <c r="M32" s="1"/>
      <c r="O32" s="509" t="str">
        <f t="shared" si="4"/>
        <v>O2, NO</v>
      </c>
      <c r="P32" s="489">
        <f>ROUND(P46*ПГ!$F$2,-1)</f>
        <v>108860</v>
      </c>
    </row>
    <row r="33" spans="8:16" ht="39" thickBot="1">
      <c r="H33" s="543" t="str">
        <f t="shared" si="5"/>
        <v>Генератор ПГСМ "ИНФАН ЭХГР-HF"</v>
      </c>
      <c r="I33" s="538">
        <f>ROUND(I64*ПГ!$F$2,-1)</f>
        <v>928130</v>
      </c>
      <c r="K33" s="537"/>
      <c r="L33" s="538"/>
      <c r="M33" s="1"/>
      <c r="O33" s="509" t="str">
        <f t="shared" si="4"/>
        <v>Шкаф пневматики</v>
      </c>
      <c r="P33" s="489">
        <f>ROUND(P47*ПГ!$F$2,-1)</f>
        <v>27220</v>
      </c>
    </row>
    <row r="34" spans="8:16" ht="39" thickBot="1">
      <c r="H34" s="543" t="str">
        <f t="shared" si="5"/>
        <v>Генератор ПГСМ "ИНФАН ЭХГР-SO2"</v>
      </c>
      <c r="I34" s="538">
        <f>ROUND(I65*ПГ!$F$2,-1)</f>
        <v>577130</v>
      </c>
      <c r="M34" s="1"/>
      <c r="O34" s="509" t="str">
        <f t="shared" si="4"/>
        <v>Трансформатор 36В</v>
      </c>
      <c r="P34" s="489">
        <f>ROUND(P48*ПГ!$F$2,-1)</f>
        <v>2270</v>
      </c>
    </row>
    <row r="35" spans="8:16" ht="16.5" customHeight="1" thickBot="1">
      <c r="H35" s="543" t="str">
        <f t="shared" si="5"/>
        <v>ГР05М</v>
      </c>
      <c r="I35" s="538">
        <f>I66</f>
        <v>250000</v>
      </c>
      <c r="O35" s="517" t="str">
        <f t="shared" si="4"/>
        <v>Компрессор</v>
      </c>
      <c r="P35" s="518">
        <f>ROUND(P49*ПГ!$F$2,-1)</f>
        <v>10580</v>
      </c>
    </row>
    <row r="36" ht="24.75" customHeight="1"/>
    <row r="37" ht="13.5" thickBot="1"/>
    <row r="38" spans="1:16" ht="13.5" thickBot="1">
      <c r="A38" s="258"/>
      <c r="C38" s="554" t="str">
        <f>CONCATENATE("цена канала на ",ПГ!$G$2)</f>
        <v>цена канала на 01.05.2016</v>
      </c>
      <c r="D38" s="484"/>
      <c r="E38" s="554" t="str">
        <f>CONCATENATE("цена корпуса на ",ПГ!$G$2)</f>
        <v>цена корпуса на 01.05.2016</v>
      </c>
      <c r="F38" s="485"/>
      <c r="O38" s="551" t="s">
        <v>476</v>
      </c>
      <c r="P38" s="552" t="s">
        <v>468</v>
      </c>
    </row>
    <row r="39" spans="1:16" ht="13.5" thickBot="1">
      <c r="A39" s="491" t="s">
        <v>365</v>
      </c>
      <c r="C39" s="493" t="s">
        <v>422</v>
      </c>
      <c r="D39" s="494" t="s">
        <v>458</v>
      </c>
      <c r="E39" s="493" t="s">
        <v>422</v>
      </c>
      <c r="F39" s="494" t="s">
        <v>458</v>
      </c>
      <c r="O39" s="551" t="s">
        <v>469</v>
      </c>
      <c r="P39" s="552" t="str">
        <f>CONCATENATE("на ",ПГ!$G$2)</f>
        <v>на 01.05.2016</v>
      </c>
    </row>
    <row r="40" spans="1:16" ht="15.75" thickBot="1" thickTop="1">
      <c r="A40" s="556" t="s">
        <v>292</v>
      </c>
      <c r="B40" s="768">
        <v>3930</v>
      </c>
      <c r="C40" s="769">
        <v>8060</v>
      </c>
      <c r="D40" s="770">
        <v>8060</v>
      </c>
      <c r="E40" s="771">
        <v>4580</v>
      </c>
      <c r="F40" s="772">
        <v>4580</v>
      </c>
      <c r="J40"/>
      <c r="K40"/>
      <c r="L40"/>
      <c r="O40" s="555" t="s">
        <v>477</v>
      </c>
      <c r="P40" s="553">
        <v>48380</v>
      </c>
    </row>
    <row r="41" spans="1:16" ht="15.75" thickBot="1" thickTop="1">
      <c r="A41" s="498" t="s">
        <v>293</v>
      </c>
      <c r="B41" s="773">
        <v>3930</v>
      </c>
      <c r="C41" s="743">
        <v>8060</v>
      </c>
      <c r="D41" s="770">
        <v>8060</v>
      </c>
      <c r="E41" s="774">
        <v>4580</v>
      </c>
      <c r="F41" s="772">
        <v>4580</v>
      </c>
      <c r="O41" s="557" t="s">
        <v>478</v>
      </c>
      <c r="P41" s="558">
        <v>78620</v>
      </c>
    </row>
    <row r="42" spans="1:16" ht="15" thickBot="1">
      <c r="A42" s="498" t="s">
        <v>290</v>
      </c>
      <c r="B42" s="773">
        <v>3930</v>
      </c>
      <c r="C42" s="743">
        <v>6550</v>
      </c>
      <c r="D42" s="770">
        <v>6550</v>
      </c>
      <c r="E42" s="774">
        <v>4580</v>
      </c>
      <c r="F42" s="772">
        <v>4580</v>
      </c>
      <c r="H42" s="789" t="s">
        <v>568</v>
      </c>
      <c r="I42" s="789" t="s">
        <v>468</v>
      </c>
      <c r="J42" s="1"/>
      <c r="O42" s="559" t="s">
        <v>479</v>
      </c>
      <c r="P42" s="560">
        <v>108860</v>
      </c>
    </row>
    <row r="43" spans="1:16" ht="39.75" thickBot="1" thickTop="1">
      <c r="A43" s="498" t="s">
        <v>36</v>
      </c>
      <c r="B43" s="773">
        <v>3930</v>
      </c>
      <c r="C43" s="743">
        <v>13900</v>
      </c>
      <c r="D43" s="770">
        <v>13900</v>
      </c>
      <c r="E43" s="774">
        <v>4580</v>
      </c>
      <c r="F43" s="772">
        <v>4580</v>
      </c>
      <c r="H43" s="789" t="s">
        <v>469</v>
      </c>
      <c r="I43" s="789" t="str">
        <f>CONCATENATE("на ",ПГ!$G$2)</f>
        <v>на 01.05.2016</v>
      </c>
      <c r="J43" s="222"/>
      <c r="O43" s="559" t="s">
        <v>480</v>
      </c>
      <c r="P43" s="560">
        <v>123970</v>
      </c>
    </row>
    <row r="44" spans="1:16" ht="28.5" thickBot="1" thickTop="1">
      <c r="A44" s="498" t="s">
        <v>463</v>
      </c>
      <c r="B44" s="773">
        <v>8240</v>
      </c>
      <c r="C44" s="743">
        <v>8410</v>
      </c>
      <c r="D44" s="770">
        <v>8410</v>
      </c>
      <c r="E44" s="774">
        <v>9620</v>
      </c>
      <c r="F44" s="772">
        <v>9620</v>
      </c>
      <c r="G44" s="916">
        <v>42491</v>
      </c>
      <c r="H44" s="789" t="s">
        <v>474</v>
      </c>
      <c r="I44" s="790">
        <v>96100</v>
      </c>
      <c r="J44" s="569" t="s">
        <v>594</v>
      </c>
      <c r="O44" s="559" t="s">
        <v>481</v>
      </c>
      <c r="P44" s="560">
        <v>139090</v>
      </c>
    </row>
    <row r="45" spans="1:16" ht="30" thickBot="1" thickTop="1">
      <c r="A45" s="498" t="s">
        <v>136</v>
      </c>
      <c r="B45" s="773">
        <v>4010</v>
      </c>
      <c r="C45" s="743">
        <v>8860</v>
      </c>
      <c r="D45" s="770">
        <v>8860</v>
      </c>
      <c r="E45" s="774">
        <v>4670</v>
      </c>
      <c r="F45" s="772">
        <v>4670</v>
      </c>
      <c r="G45" s="915" t="s">
        <v>607</v>
      </c>
      <c r="H45" s="789" t="s">
        <v>565</v>
      </c>
      <c r="I45" s="790">
        <v>187380</v>
      </c>
      <c r="J45" s="569" t="s">
        <v>595</v>
      </c>
      <c r="K45" t="s">
        <v>270</v>
      </c>
      <c r="L45" s="561" t="s">
        <v>468</v>
      </c>
      <c r="O45" s="559" t="s">
        <v>482</v>
      </c>
      <c r="P45" s="560">
        <v>214690</v>
      </c>
    </row>
    <row r="46" spans="1:16" ht="27" thickBot="1" thickTop="1">
      <c r="A46" s="498" t="s">
        <v>380</v>
      </c>
      <c r="B46" s="773">
        <v>3930</v>
      </c>
      <c r="C46" s="743">
        <v>8060</v>
      </c>
      <c r="D46" s="770">
        <v>8060</v>
      </c>
      <c r="E46" s="774">
        <v>4580</v>
      </c>
      <c r="F46" s="772">
        <v>4580</v>
      </c>
      <c r="H46" s="789" t="s">
        <v>566</v>
      </c>
      <c r="I46" s="790">
        <v>216220</v>
      </c>
      <c r="J46" s="569" t="s">
        <v>596</v>
      </c>
      <c r="K46" t="s">
        <v>469</v>
      </c>
      <c r="L46" s="561" t="s">
        <v>470</v>
      </c>
      <c r="O46" s="559" t="s">
        <v>483</v>
      </c>
      <c r="P46" s="560">
        <v>108860</v>
      </c>
    </row>
    <row r="47" spans="1:16" ht="39.75" thickBot="1" thickTop="1">
      <c r="A47" s="498" t="s">
        <v>485</v>
      </c>
      <c r="B47" s="773">
        <v>5610</v>
      </c>
      <c r="C47" s="775">
        <v>0</v>
      </c>
      <c r="D47" s="775">
        <v>0</v>
      </c>
      <c r="E47" s="774">
        <v>6540</v>
      </c>
      <c r="F47" s="775">
        <v>6540</v>
      </c>
      <c r="H47" s="789" t="s">
        <v>567</v>
      </c>
      <c r="I47" s="790">
        <v>156160</v>
      </c>
      <c r="J47" s="569" t="s">
        <v>597</v>
      </c>
      <c r="K47" s="196" t="s">
        <v>272</v>
      </c>
      <c r="L47" s="763">
        <v>3700</v>
      </c>
      <c r="M47" s="763">
        <v>6670</v>
      </c>
      <c r="O47" s="562" t="s">
        <v>484</v>
      </c>
      <c r="P47" s="560">
        <v>27220</v>
      </c>
    </row>
    <row r="48" spans="1:16" ht="35.25" customHeight="1" thickBot="1" thickTop="1">
      <c r="A48" s="498" t="s">
        <v>182</v>
      </c>
      <c r="B48" s="773">
        <v>5610</v>
      </c>
      <c r="C48" s="775">
        <v>0</v>
      </c>
      <c r="D48" s="775">
        <v>0</v>
      </c>
      <c r="E48" s="774">
        <v>6540</v>
      </c>
      <c r="F48" s="775">
        <v>6540</v>
      </c>
      <c r="K48" s="566" t="s">
        <v>273</v>
      </c>
      <c r="L48" s="763">
        <v>3700</v>
      </c>
      <c r="M48" s="717">
        <v>0</v>
      </c>
      <c r="O48" s="564" t="s">
        <v>486</v>
      </c>
      <c r="P48" s="560">
        <v>2270</v>
      </c>
    </row>
    <row r="49" spans="1:16" ht="34.5" customHeight="1" thickBot="1">
      <c r="A49" s="516" t="s">
        <v>465</v>
      </c>
      <c r="B49" s="773">
        <v>8140</v>
      </c>
      <c r="C49" s="743">
        <v>18880</v>
      </c>
      <c r="D49" s="770">
        <v>18880</v>
      </c>
      <c r="E49" s="774">
        <v>9490</v>
      </c>
      <c r="F49" s="772">
        <v>9490</v>
      </c>
      <c r="H49" s="568" t="s">
        <v>248</v>
      </c>
      <c r="I49" s="571">
        <v>41710</v>
      </c>
      <c r="J49" s="569" t="s">
        <v>594</v>
      </c>
      <c r="K49" s="566" t="s">
        <v>274</v>
      </c>
      <c r="L49" s="763">
        <v>3700</v>
      </c>
      <c r="M49" s="717">
        <v>0</v>
      </c>
      <c r="O49" s="562" t="s">
        <v>487</v>
      </c>
      <c r="P49" s="565">
        <v>10580</v>
      </c>
    </row>
    <row r="50" spans="1:13" ht="30.75" customHeight="1" thickBot="1">
      <c r="A50" s="498" t="s">
        <v>466</v>
      </c>
      <c r="B50" s="773">
        <v>8550</v>
      </c>
      <c r="C50" s="743">
        <v>21070</v>
      </c>
      <c r="D50" s="770">
        <v>15560</v>
      </c>
      <c r="E50" s="774">
        <v>9960</v>
      </c>
      <c r="F50" s="772">
        <v>9960</v>
      </c>
      <c r="H50" s="568" t="s">
        <v>584</v>
      </c>
      <c r="I50" s="571">
        <v>53450</v>
      </c>
      <c r="J50" s="569" t="s">
        <v>595</v>
      </c>
      <c r="K50" s="566" t="s">
        <v>275</v>
      </c>
      <c r="L50" s="763">
        <v>3700</v>
      </c>
      <c r="M50" s="717">
        <v>0</v>
      </c>
    </row>
    <row r="51" spans="1:13" ht="33.75" customHeight="1" thickBot="1">
      <c r="A51" s="498" t="s">
        <v>377</v>
      </c>
      <c r="B51" s="773">
        <v>3930</v>
      </c>
      <c r="C51" s="743">
        <v>8060</v>
      </c>
      <c r="D51" s="770">
        <v>8060</v>
      </c>
      <c r="E51" s="774">
        <v>4580</v>
      </c>
      <c r="F51" s="772">
        <v>4580</v>
      </c>
      <c r="G51" s="570"/>
      <c r="H51" s="908" t="s">
        <v>249</v>
      </c>
      <c r="I51" s="909">
        <v>107570</v>
      </c>
      <c r="J51" s="569" t="s">
        <v>596</v>
      </c>
      <c r="K51" s="566" t="s">
        <v>276</v>
      </c>
      <c r="L51" s="764">
        <v>1870</v>
      </c>
      <c r="M51" s="717">
        <v>0</v>
      </c>
    </row>
    <row r="52" spans="1:13" ht="38.25" customHeight="1" thickBot="1">
      <c r="A52" s="498" t="s">
        <v>471</v>
      </c>
      <c r="B52" s="773">
        <v>8240</v>
      </c>
      <c r="C52" s="743">
        <v>8900</v>
      </c>
      <c r="D52" s="770">
        <v>8900</v>
      </c>
      <c r="E52" s="774">
        <v>9620</v>
      </c>
      <c r="F52" s="772">
        <v>9620</v>
      </c>
      <c r="G52" s="570"/>
      <c r="K52" s="566" t="s">
        <v>277</v>
      </c>
      <c r="L52" s="763">
        <v>3700</v>
      </c>
      <c r="M52" s="717">
        <v>0</v>
      </c>
    </row>
    <row r="53" spans="1:13" ht="45" customHeight="1" thickBot="1">
      <c r="A53" s="498" t="s">
        <v>48</v>
      </c>
      <c r="B53" s="773">
        <v>8550</v>
      </c>
      <c r="C53" s="743">
        <v>19770</v>
      </c>
      <c r="D53" s="775">
        <v>0</v>
      </c>
      <c r="E53" s="774">
        <v>9960</v>
      </c>
      <c r="F53" s="775">
        <v>0</v>
      </c>
      <c r="G53" s="570"/>
      <c r="H53" s="568" t="s">
        <v>250</v>
      </c>
      <c r="I53" s="757">
        <v>567490</v>
      </c>
      <c r="J53" s="569" t="s">
        <v>597</v>
      </c>
      <c r="K53" s="566" t="s">
        <v>278</v>
      </c>
      <c r="L53" s="763">
        <v>3700</v>
      </c>
      <c r="M53" s="765">
        <v>6670</v>
      </c>
    </row>
    <row r="54" spans="1:13" ht="77.25" thickBot="1">
      <c r="A54" s="498" t="s">
        <v>117</v>
      </c>
      <c r="B54" s="773">
        <v>8550</v>
      </c>
      <c r="C54" s="743">
        <v>22940</v>
      </c>
      <c r="D54" s="770">
        <v>22940</v>
      </c>
      <c r="E54" s="774">
        <v>9960</v>
      </c>
      <c r="F54" s="772">
        <v>9960</v>
      </c>
      <c r="G54" s="570"/>
      <c r="H54" s="568" t="s">
        <v>251</v>
      </c>
      <c r="I54" s="758">
        <v>592220</v>
      </c>
      <c r="J54" s="569" t="s">
        <v>598</v>
      </c>
      <c r="K54" s="566" t="s">
        <v>279</v>
      </c>
      <c r="L54" s="764">
        <v>5500</v>
      </c>
      <c r="M54" s="717">
        <v>0</v>
      </c>
    </row>
    <row r="55" spans="1:13" ht="77.25" thickBot="1">
      <c r="A55" s="498" t="s">
        <v>472</v>
      </c>
      <c r="B55" s="773">
        <v>8240</v>
      </c>
      <c r="C55" s="743">
        <v>9940</v>
      </c>
      <c r="D55" s="770">
        <v>9940</v>
      </c>
      <c r="E55" s="774">
        <v>9620</v>
      </c>
      <c r="F55" s="772">
        <v>9620</v>
      </c>
      <c r="G55" s="570"/>
      <c r="H55" s="568" t="s">
        <v>252</v>
      </c>
      <c r="I55" s="759">
        <v>752480</v>
      </c>
      <c r="J55" s="569" t="s">
        <v>599</v>
      </c>
      <c r="K55" s="566" t="s">
        <v>280</v>
      </c>
      <c r="L55" s="764">
        <v>5500</v>
      </c>
      <c r="M55" s="717">
        <v>8460</v>
      </c>
    </row>
    <row r="56" spans="1:13" ht="16.5" thickBot="1">
      <c r="A56" s="498" t="s">
        <v>473</v>
      </c>
      <c r="B56" s="773">
        <v>8550</v>
      </c>
      <c r="C56" s="743">
        <v>11980</v>
      </c>
      <c r="D56" s="775">
        <v>0</v>
      </c>
      <c r="E56" s="774">
        <v>9960</v>
      </c>
      <c r="F56" s="775">
        <v>0</v>
      </c>
      <c r="G56" s="570"/>
      <c r="J56" s="563"/>
      <c r="K56" s="566" t="s">
        <v>281</v>
      </c>
      <c r="L56" s="763">
        <v>3700</v>
      </c>
      <c r="M56" s="717">
        <v>0</v>
      </c>
    </row>
    <row r="57" spans="1:13" ht="75" customHeight="1" thickBot="1">
      <c r="A57" s="498" t="s">
        <v>474</v>
      </c>
      <c r="B57" s="773">
        <v>8550</v>
      </c>
      <c r="C57" s="743">
        <v>9210</v>
      </c>
      <c r="D57" s="770">
        <v>9210</v>
      </c>
      <c r="E57" s="774">
        <v>9960</v>
      </c>
      <c r="F57" s="772">
        <v>9960</v>
      </c>
      <c r="G57" s="570"/>
      <c r="H57" s="181" t="s">
        <v>577</v>
      </c>
      <c r="I57" s="766">
        <v>357340</v>
      </c>
      <c r="J57" s="811">
        <v>42401</v>
      </c>
      <c r="K57" s="566" t="s">
        <v>282</v>
      </c>
      <c r="L57" s="764">
        <v>5500</v>
      </c>
      <c r="M57" s="717">
        <v>0</v>
      </c>
    </row>
    <row r="58" spans="1:13" ht="48.75" customHeight="1" thickBot="1">
      <c r="A58" s="498" t="s">
        <v>489</v>
      </c>
      <c r="B58" s="773">
        <v>12640</v>
      </c>
      <c r="C58" s="775">
        <v>0</v>
      </c>
      <c r="D58" s="776">
        <v>9720</v>
      </c>
      <c r="E58" s="775">
        <v>0</v>
      </c>
      <c r="F58" s="732">
        <v>9240</v>
      </c>
      <c r="G58" s="567" t="s">
        <v>488</v>
      </c>
      <c r="H58" s="181" t="s">
        <v>254</v>
      </c>
      <c r="I58" s="766">
        <v>314030</v>
      </c>
      <c r="J58" s="762" t="s">
        <v>593</v>
      </c>
      <c r="K58" s="566" t="s">
        <v>591</v>
      </c>
      <c r="L58" s="764">
        <v>12000</v>
      </c>
      <c r="M58" s="717">
        <v>0</v>
      </c>
    </row>
    <row r="59" spans="1:12" ht="45.75" thickBot="1">
      <c r="A59" s="539" t="s">
        <v>267</v>
      </c>
      <c r="B59" s="777">
        <v>8550</v>
      </c>
      <c r="C59" s="767">
        <v>9210</v>
      </c>
      <c r="D59" s="778">
        <v>9210</v>
      </c>
      <c r="E59" s="779">
        <v>9960</v>
      </c>
      <c r="F59" s="772">
        <v>9960</v>
      </c>
      <c r="H59" s="181" t="s">
        <v>256</v>
      </c>
      <c r="I59" s="761">
        <v>270710</v>
      </c>
      <c r="J59" s="762" t="s">
        <v>593</v>
      </c>
      <c r="K59" s="566" t="s">
        <v>283</v>
      </c>
      <c r="L59" s="764">
        <v>3750</v>
      </c>
    </row>
    <row r="60" spans="2:10" ht="39" thickBot="1">
      <c r="B60" s="576" t="str">
        <f>СГ1!A50</f>
        <v>БР-10, динрельс</v>
      </c>
      <c r="C60" s="767">
        <v>1950</v>
      </c>
      <c r="D60" s="757">
        <v>1950</v>
      </c>
      <c r="E60" t="s">
        <v>564</v>
      </c>
      <c r="H60" s="181" t="s">
        <v>606</v>
      </c>
      <c r="I60" s="761">
        <v>604500</v>
      </c>
      <c r="J60" s="762" t="s">
        <v>593</v>
      </c>
    </row>
    <row r="61" spans="2:12" ht="53.25" customHeight="1" thickBot="1">
      <c r="B61" s="578" t="str">
        <f>СГ1!A51</f>
        <v>блок искрозащиты</v>
      </c>
      <c r="C61" s="547"/>
      <c r="D61" s="758">
        <v>2840</v>
      </c>
      <c r="E61" t="s">
        <v>564</v>
      </c>
      <c r="G61" s="579"/>
      <c r="H61" s="181" t="s">
        <v>603</v>
      </c>
      <c r="I61" s="761">
        <v>794500</v>
      </c>
      <c r="J61" s="762"/>
      <c r="K61" s="575" t="s">
        <v>490</v>
      </c>
      <c r="L61" s="760">
        <v>560</v>
      </c>
    </row>
    <row r="62" spans="2:12" ht="39" thickBot="1">
      <c r="B62" s="548" t="str">
        <f>СГ1!A52</f>
        <v>блок БППН</v>
      </c>
      <c r="C62" s="547"/>
      <c r="D62" s="759">
        <v>4190</v>
      </c>
      <c r="E62" t="s">
        <v>564</v>
      </c>
      <c r="H62" s="181" t="s">
        <v>258</v>
      </c>
      <c r="I62" s="761">
        <v>380130</v>
      </c>
      <c r="J62" s="762" t="s">
        <v>593</v>
      </c>
      <c r="K62" s="577" t="s">
        <v>491</v>
      </c>
      <c r="L62" s="761">
        <v>270</v>
      </c>
    </row>
    <row r="63" spans="2:12" ht="39" thickBot="1">
      <c r="B63" t="s">
        <v>493</v>
      </c>
      <c r="D63" s="739">
        <v>1100</v>
      </c>
      <c r="E63" t="s">
        <v>564</v>
      </c>
      <c r="H63" s="181" t="s">
        <v>261</v>
      </c>
      <c r="I63" s="761">
        <v>604500</v>
      </c>
      <c r="J63" s="762" t="s">
        <v>593</v>
      </c>
      <c r="K63" s="577" t="s">
        <v>492</v>
      </c>
      <c r="L63" s="761">
        <v>440</v>
      </c>
    </row>
    <row r="64" spans="2:12" ht="39" thickBot="1">
      <c r="B64" t="s">
        <v>494</v>
      </c>
      <c r="D64" s="739">
        <v>9870</v>
      </c>
      <c r="E64" t="s">
        <v>564</v>
      </c>
      <c r="H64" s="181" t="s">
        <v>264</v>
      </c>
      <c r="I64" s="761">
        <v>928130</v>
      </c>
      <c r="J64" s="762" t="s">
        <v>593</v>
      </c>
      <c r="K64" s="577"/>
      <c r="L64" s="580"/>
    </row>
    <row r="65" spans="8:10" ht="39" thickBot="1">
      <c r="H65" s="181" t="s">
        <v>266</v>
      </c>
      <c r="I65" s="761">
        <v>577130</v>
      </c>
      <c r="J65" s="581">
        <v>42408</v>
      </c>
    </row>
    <row r="66" spans="8:9" ht="13.5" thickBot="1">
      <c r="H66" s="906" t="s">
        <v>269</v>
      </c>
      <c r="I66" s="907">
        <v>250000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J1">
      <selection activeCell="I1" sqref="A1:I16384"/>
    </sheetView>
  </sheetViews>
  <sheetFormatPr defaultColWidth="9.00390625" defaultRowHeight="12.75"/>
  <cols>
    <col min="1" max="9" width="0" style="1" hidden="1" customWidth="1"/>
    <col min="10" max="10" width="9.125" style="1" customWidth="1"/>
    <col min="11" max="11" width="40.125" style="1" customWidth="1"/>
    <col min="12" max="16384" width="8.875" style="1" customWidth="1"/>
  </cols>
  <sheetData>
    <row r="1" spans="2:6" ht="12.75">
      <c r="B1" s="480" t="s">
        <v>495</v>
      </c>
      <c r="C1" s="481"/>
      <c r="D1" s="481"/>
      <c r="E1" s="582"/>
      <c r="F1" s="582"/>
    </row>
    <row r="2" spans="1:9" ht="12.75">
      <c r="A2" s="583"/>
      <c r="B2" s="584" t="s">
        <v>496</v>
      </c>
      <c r="C2" s="585"/>
      <c r="D2" s="418" t="s">
        <v>454</v>
      </c>
      <c r="E2" s="418" t="s">
        <v>497</v>
      </c>
      <c r="F2" s="572" t="s">
        <v>498</v>
      </c>
      <c r="G2" s="586" t="s">
        <v>499</v>
      </c>
      <c r="H2" s="572" t="s">
        <v>500</v>
      </c>
      <c r="I2" s="572" t="s">
        <v>500</v>
      </c>
    </row>
    <row r="3" spans="1:9" ht="57.75" customHeight="1">
      <c r="A3" s="587" t="s">
        <v>365</v>
      </c>
      <c r="B3" s="588" t="s">
        <v>501</v>
      </c>
      <c r="C3" s="589" t="s">
        <v>502</v>
      </c>
      <c r="D3" s="590" t="s">
        <v>457</v>
      </c>
      <c r="E3" s="591" t="s">
        <v>503</v>
      </c>
      <c r="F3" s="574" t="s">
        <v>504</v>
      </c>
      <c r="G3" s="592" t="s">
        <v>505</v>
      </c>
      <c r="H3" s="574" t="s">
        <v>504</v>
      </c>
      <c r="I3" s="574" t="s">
        <v>505</v>
      </c>
    </row>
    <row r="4" spans="1:9" ht="35.25" customHeight="1">
      <c r="A4" s="593" t="str">
        <f aca="true" t="shared" si="0" ref="A4:A26">A30</f>
        <v>C3H8</v>
      </c>
      <c r="B4" s="594">
        <f>ROUND(B30*ПГ!$F$2,-1)</f>
        <v>8060</v>
      </c>
      <c r="C4" s="595">
        <f>ROUND(C30*ПГ!$F$2,-1)</f>
        <v>4580</v>
      </c>
      <c r="E4" s="371">
        <f>VLOOKUP(A4,СГИ!$A$8:$G$27,7,TRUE)</f>
        <v>2</v>
      </c>
      <c r="F4" s="572">
        <f>ROUND(F30*ПГ!$F$2,-1)</f>
        <v>9040</v>
      </c>
      <c r="G4" s="596"/>
      <c r="H4" s="597">
        <f>ROUND(H30*ПГ!$F$2,-1)</f>
        <v>6550</v>
      </c>
      <c r="I4" s="572">
        <f>ROUND(I30*ПГ!$F$2,-1)</f>
        <v>3690</v>
      </c>
    </row>
    <row r="5" spans="1:9" ht="33" customHeight="1">
      <c r="A5" s="598" t="str">
        <f t="shared" si="0"/>
        <v>C6H14</v>
      </c>
      <c r="B5" s="599">
        <f>ROUND(B31*ПГ!$F$2,-1)</f>
        <v>8060</v>
      </c>
      <c r="C5" s="600">
        <f>ROUND(C31*ПГ!$F$2,-1)</f>
        <v>4580</v>
      </c>
      <c r="E5" s="601">
        <f>VLOOKUP(A5,СГИ!$A$8:$G$27,7,TRUE)</f>
        <v>2</v>
      </c>
      <c r="F5" s="602">
        <f>ROUND(F31*ПГ!$F$2,-1)</f>
        <v>9040</v>
      </c>
      <c r="G5" s="596"/>
      <c r="H5" s="603">
        <f>ROUND(H31*ПГ!$F$2,-1)</f>
        <v>6550</v>
      </c>
      <c r="I5" s="602">
        <f>ROUND(I31*ПГ!$F$2,-1)</f>
        <v>3690</v>
      </c>
    </row>
    <row r="6" spans="1:9" ht="36" customHeight="1">
      <c r="A6" s="598" t="s">
        <v>290</v>
      </c>
      <c r="B6" s="599">
        <f>ROUND(B32*ПГ!$F$2,-1)</f>
        <v>6550</v>
      </c>
      <c r="C6" s="600">
        <f>ROUND(C32*ПГ!$F$2,-1)</f>
        <v>4580</v>
      </c>
      <c r="E6" s="601">
        <f>VLOOKUP(A6,СГИ!$A$8:$G$27,7,TRUE)</f>
        <v>2</v>
      </c>
      <c r="F6" s="602">
        <f>ROUND(F32*ПГ!$F$2,-1)</f>
        <v>7570</v>
      </c>
      <c r="G6" s="596"/>
      <c r="H6" s="603">
        <f>ROUND(H32*ПГ!$F$2,-1)</f>
        <v>6550</v>
      </c>
      <c r="I6" s="602">
        <f>ROUND(I32*ПГ!$F$2,-1)</f>
        <v>3690</v>
      </c>
    </row>
    <row r="7" spans="1:9" ht="36" customHeight="1">
      <c r="A7" s="598" t="str">
        <f t="shared" si="0"/>
        <v>CHopt</v>
      </c>
      <c r="B7" s="599">
        <f>ROUND(B33*ПГ!$F$2,-1)</f>
        <v>13900</v>
      </c>
      <c r="C7" s="600">
        <f>ROUND(C33*ПГ!$F$2,-1)</f>
        <v>4580</v>
      </c>
      <c r="E7" s="601">
        <f>VLOOKUP(A7,СГИ!$A$8:$G$27,7,TRUE)</f>
        <v>2</v>
      </c>
      <c r="F7" s="596" t="s">
        <v>506</v>
      </c>
      <c r="G7" s="596"/>
      <c r="H7" s="604"/>
      <c r="I7" s="604"/>
    </row>
    <row r="8" spans="1:7" ht="33" customHeight="1">
      <c r="A8" s="598" t="str">
        <f t="shared" si="0"/>
        <v>Cl2</v>
      </c>
      <c r="B8" s="599">
        <f>ROUND(B34*ПГ!$F$2,-1)</f>
        <v>8410</v>
      </c>
      <c r="C8" s="600">
        <f>ROUND(C34*ПГ!$F$2,-1)</f>
        <v>9620</v>
      </c>
      <c r="E8" s="601">
        <f>VLOOKUP(A8,СГИ!$A$8:$G$27,7,TRUE)</f>
        <v>2</v>
      </c>
      <c r="F8" s="602">
        <f>ROUND(F34*ПГ!$F$2,-1)</f>
        <v>10990</v>
      </c>
      <c r="G8" s="602">
        <f>ROUND(G34*ПГ!$F$2,-1)</f>
        <v>0</v>
      </c>
    </row>
    <row r="9" spans="1:7" ht="32.25" customHeight="1">
      <c r="A9" s="598" t="str">
        <f t="shared" si="0"/>
        <v>CO</v>
      </c>
      <c r="B9" s="599">
        <f>ROUND(B35*ПГ!$F$2,-1)</f>
        <v>8690</v>
      </c>
      <c r="C9" s="600">
        <f>ROUND(C35*ПГ!$F$2,-1)</f>
        <v>4580</v>
      </c>
      <c r="E9" s="601">
        <f>VLOOKUP(A9,СГИ!$A$8:$G$27,7,TRUE)</f>
        <v>2</v>
      </c>
      <c r="F9" s="602">
        <f>ROUND(F35*ПГ!$F$2,-1)</f>
        <v>8690</v>
      </c>
      <c r="G9" s="602">
        <f>ROUND(G35*ПГ!$F$2,-1)</f>
        <v>0</v>
      </c>
    </row>
    <row r="10" spans="1:9" ht="33" customHeight="1">
      <c r="A10" s="598" t="str">
        <f t="shared" si="0"/>
        <v>CO как горючий</v>
      </c>
      <c r="B10" s="599">
        <f>ROUND(B36*ПГ!$F$2,-1)</f>
        <v>8060</v>
      </c>
      <c r="C10" s="600">
        <f>ROUND(C36*ПГ!$F$2,-1)</f>
        <v>4580</v>
      </c>
      <c r="E10" s="601">
        <f>VLOOKUP(A10,СГИ!$A$8:$G$27,7,TRUE)</f>
        <v>2</v>
      </c>
      <c r="F10" s="602">
        <f>ROUND(F36*ПГ!$F$2,-1)</f>
        <v>9040</v>
      </c>
      <c r="G10" s="602">
        <f>ROUND(G36*ПГ!$F$2,-1)</f>
        <v>0</v>
      </c>
      <c r="H10" s="603">
        <f>ROUND(H36*ПГ!$F$2,-1)</f>
        <v>6550</v>
      </c>
      <c r="I10" s="602">
        <f>ROUND(I36*ПГ!$F$2,-1)</f>
        <v>3690</v>
      </c>
    </row>
    <row r="11" spans="1:7" ht="31.5" customHeight="1">
      <c r="A11" s="605" t="str">
        <f t="shared" si="0"/>
        <v>CO+CH4</v>
      </c>
      <c r="B11" s="606">
        <f>B6+B9</f>
        <v>15240</v>
      </c>
      <c r="C11" s="607">
        <f>ROUND(C37*ПГ!$F$2,-1)</f>
        <v>6540</v>
      </c>
      <c r="E11" s="608" t="s">
        <v>507</v>
      </c>
      <c r="F11" s="609">
        <f>ROUND((F37+470)*ПГ!$F$2,-1)</f>
        <v>17190</v>
      </c>
      <c r="G11" s="596"/>
    </row>
    <row r="12" spans="1:8" ht="33" customHeight="1">
      <c r="A12" s="605" t="str">
        <f t="shared" si="0"/>
        <v>CO+гор.газ</v>
      </c>
      <c r="B12" s="610">
        <f>B9+MAX(B4,B5,B10,B15)</f>
        <v>16750</v>
      </c>
      <c r="C12" s="607">
        <f>ROUND(C38*ПГ!$F$2,-1)</f>
        <v>6540</v>
      </c>
      <c r="E12" s="608" t="s">
        <v>507</v>
      </c>
      <c r="F12" s="611">
        <f>ROUND((F38+470)*ПГ!$F$2,-1)</f>
        <v>18680</v>
      </c>
      <c r="G12" s="596"/>
      <c r="H12" s="604"/>
    </row>
    <row r="13" spans="1:7" ht="36" customHeight="1">
      <c r="A13" s="598" t="str">
        <f t="shared" si="0"/>
        <v>CO2</v>
      </c>
      <c r="B13" s="599">
        <f>ROUND(B39*ПГ!$F$2,-1)</f>
        <v>18880</v>
      </c>
      <c r="C13" s="600">
        <f>ROUND(C39*ПГ!$F$2,-1)</f>
        <v>9490</v>
      </c>
      <c r="E13" s="601">
        <f>VLOOKUP(A13,СГИ!$A$8:$G$27,7,TRUE)</f>
        <v>1</v>
      </c>
      <c r="F13" s="602">
        <f>ROUND(F39*ПГ!$F$2,-1)</f>
        <v>24540</v>
      </c>
      <c r="G13" s="602">
        <f>ROUND(G39*ПГ!$F$2,-1)</f>
        <v>0</v>
      </c>
    </row>
    <row r="14" spans="1:16" s="222" customFormat="1" ht="36" customHeight="1">
      <c r="A14" s="598" t="str">
        <f t="shared" si="0"/>
        <v>F2</v>
      </c>
      <c r="B14" s="599">
        <f>ROUND(B40*ПГ!$F$2,-1)</f>
        <v>21070</v>
      </c>
      <c r="C14" s="600">
        <f>ROUND(C40*ПГ!$F$2,-1)</f>
        <v>9960</v>
      </c>
      <c r="D14" s="1"/>
      <c r="E14" s="601">
        <f>VLOOKUP(A14,СГИ!$A$8:$G$27,7,TRUE)</f>
        <v>2</v>
      </c>
      <c r="F14" s="602">
        <f>ROUND(F40*ПГ!$F$2,-1)</f>
        <v>28070</v>
      </c>
      <c r="G14" s="602">
        <f>ROUND(G40*ПГ!$F$2,-1)</f>
        <v>0</v>
      </c>
      <c r="H14" s="1"/>
      <c r="I14" s="1"/>
      <c r="M14" s="1"/>
      <c r="N14" s="1"/>
      <c r="O14" s="1"/>
      <c r="P14" s="1"/>
    </row>
    <row r="15" spans="1:16" s="222" customFormat="1" ht="35.25" customHeight="1">
      <c r="A15" s="598" t="str">
        <f t="shared" si="0"/>
        <v>H2</v>
      </c>
      <c r="B15" s="599">
        <f>ROUND(B41*ПГ!$F$2,-1)</f>
        <v>8060</v>
      </c>
      <c r="C15" s="600">
        <f>ROUND(C41*ПГ!$F$2,-1)</f>
        <v>4580</v>
      </c>
      <c r="D15" s="1"/>
      <c r="E15" s="601">
        <f>VLOOKUP(A15,СГИ!$A$8:$G$27,7,TRUE)</f>
        <v>2</v>
      </c>
      <c r="F15" s="602">
        <f>ROUND(F41*ПГ!$F$2,-1)</f>
        <v>9040</v>
      </c>
      <c r="G15" s="602">
        <f>ROUND(G41*ПГ!$F$2,-1)</f>
        <v>0</v>
      </c>
      <c r="H15" s="603">
        <f>ROUND(H41*ПГ!$F$2,-1)</f>
        <v>6550</v>
      </c>
      <c r="I15" s="602">
        <f>ROUND(I41*ПГ!$F$2,-1)</f>
        <v>3690</v>
      </c>
      <c r="M15" s="1"/>
      <c r="N15" s="1"/>
      <c r="O15" s="1"/>
      <c r="P15" s="1"/>
    </row>
    <row r="16" spans="1:8" ht="34.5" customHeight="1">
      <c r="A16" s="598" t="str">
        <f t="shared" si="0"/>
        <v>H2S</v>
      </c>
      <c r="B16" s="599">
        <f>ROUND(B42*ПГ!$F$2,-1)</f>
        <v>8900</v>
      </c>
      <c r="C16" s="600">
        <f>ROUND(C42*ПГ!$F$2,-1)</f>
        <v>9620</v>
      </c>
      <c r="E16" s="612">
        <f>VLOOKUP(A16,СГИ!$A$8:$G$27,7,TRUE)</f>
        <v>1</v>
      </c>
      <c r="F16" s="602">
        <f>ROUND(F42*ПГ!$F$2,-1)</f>
        <v>11810</v>
      </c>
      <c r="G16" s="602">
        <f>ROUND(G42*ПГ!$F$2,-1)</f>
        <v>0</v>
      </c>
      <c r="H16" s="222"/>
    </row>
    <row r="17" spans="1:8" ht="33" customHeight="1">
      <c r="A17" s="598" t="str">
        <f t="shared" si="0"/>
        <v>HCl</v>
      </c>
      <c r="B17" s="599">
        <f>ROUND(B43*ПГ!$F$2,-1)</f>
        <v>19550</v>
      </c>
      <c r="C17" s="600">
        <f>ROUND(C43*ПГ!$F$2,-1)</f>
        <v>9960</v>
      </c>
      <c r="E17" s="612">
        <f>VLOOKUP(A17,СГИ!$A$8:$G$27,7,TRUE)</f>
        <v>1</v>
      </c>
      <c r="F17" s="613">
        <f>ROUND(F43*ПГ!$F$2,-1)</f>
        <v>21070</v>
      </c>
      <c r="G17" s="602">
        <f>ROUND(G43*ПГ!$F$2,-1)</f>
        <v>0</v>
      </c>
      <c r="H17" s="222"/>
    </row>
    <row r="18" spans="1:7" ht="33" customHeight="1">
      <c r="A18" s="598" t="str">
        <f t="shared" si="0"/>
        <v>HF</v>
      </c>
      <c r="B18" s="599">
        <f>ROUND(B44*ПГ!$F$2,-1)</f>
        <v>22720</v>
      </c>
      <c r="C18" s="600">
        <f>ROUND(C44*ПГ!$F$2,-1)</f>
        <v>9960</v>
      </c>
      <c r="E18" s="601">
        <f>VLOOKUP(A18,СГИ!$A$8:$G$27,7,TRUE)</f>
        <v>2</v>
      </c>
      <c r="F18" s="602">
        <f>ROUND(F44*ПГ!$F$2,-1)</f>
        <v>28070</v>
      </c>
      <c r="G18" s="602">
        <f>ROUND(G44*ПГ!$F$2,-1)</f>
        <v>0</v>
      </c>
    </row>
    <row r="19" spans="1:7" ht="32.25" customHeight="1">
      <c r="A19" s="598" t="str">
        <f t="shared" si="0"/>
        <v>NH3</v>
      </c>
      <c r="B19" s="599">
        <f>ROUND(B45*ПГ!$F$2,-1)</f>
        <v>9940</v>
      </c>
      <c r="C19" s="600">
        <f>ROUND(C45*ПГ!$F$2,-1)</f>
        <v>9620</v>
      </c>
      <c r="E19" s="601">
        <f>VLOOKUP(A19,СГИ!$A$8:$G$27,7,TRUE)</f>
        <v>3</v>
      </c>
      <c r="F19" s="602">
        <f>ROUND(F45*ПГ!$F$2,-1)</f>
        <v>13020</v>
      </c>
      <c r="G19" s="602">
        <f>ROUND(G45*ПГ!$F$2,-1)</f>
        <v>0</v>
      </c>
    </row>
    <row r="20" spans="1:7" ht="36" customHeight="1">
      <c r="A20" s="598" t="str">
        <f t="shared" si="0"/>
        <v>NO2</v>
      </c>
      <c r="B20" s="614">
        <f>ROUND(B46*ПГ!$F$2,-1)</f>
        <v>11980</v>
      </c>
      <c r="C20" s="600">
        <f>ROUND(C46*ПГ!$F$2,-1)</f>
        <v>9960</v>
      </c>
      <c r="E20" s="601">
        <f>VLOOKUP(A20,СГИ!$A$8:$G$27,7,TRUE)</f>
        <v>1</v>
      </c>
      <c r="F20" s="613">
        <f>ROUND(F46*ПГ!$F$2,-1)</f>
        <v>15150</v>
      </c>
      <c r="G20" s="602">
        <f>ROUND(G46*ПГ!$F$2,-1)</f>
        <v>0</v>
      </c>
    </row>
    <row r="21" spans="1:8" ht="36" customHeight="1">
      <c r="A21" s="598" t="str">
        <f t="shared" si="0"/>
        <v>O2</v>
      </c>
      <c r="B21" s="599">
        <f>ROUND(B47*ПГ!$F$2,-1)</f>
        <v>9210</v>
      </c>
      <c r="C21" s="600">
        <f>ROUND(C47*ПГ!$F$2,-1)</f>
        <v>9960</v>
      </c>
      <c r="E21" s="601">
        <f>VLOOKUP(A21,СГИ!$A$8:$G$27,7,TRUE)</f>
        <v>1</v>
      </c>
      <c r="F21" s="615">
        <f>ROUND(F47*ПГ!$F$2,-1)</f>
        <v>11420</v>
      </c>
      <c r="G21" s="602">
        <f>ROUND(G47*ПГ!$F$2,-1)</f>
        <v>0</v>
      </c>
      <c r="H21" s="616"/>
    </row>
    <row r="22" spans="1:7" ht="12.75">
      <c r="A22" s="598" t="str">
        <f t="shared" si="0"/>
        <v>O3</v>
      </c>
      <c r="B22" s="599">
        <f>ROUND(B48*ПГ!$F$2,-1)</f>
        <v>9720</v>
      </c>
      <c r="C22" s="600">
        <f>ROUND(C48*ПГ!$F$2,-1)</f>
        <v>14750</v>
      </c>
      <c r="E22" s="601">
        <f>VLOOKUP(A22,СГИ!$A$8:$G$27,7,TRUE)</f>
        <v>1</v>
      </c>
      <c r="F22" s="602">
        <f>ROUND(F48*ПГ!$F$2,-1)</f>
        <v>16880</v>
      </c>
      <c r="G22" s="596" t="s">
        <v>506</v>
      </c>
    </row>
    <row r="23" spans="1:7" ht="12.75">
      <c r="A23" s="605" t="str">
        <f t="shared" si="0"/>
        <v>SO2</v>
      </c>
      <c r="B23" s="606">
        <f>ROUND(B49*ПГ!$F$2,-1)</f>
        <v>9210</v>
      </c>
      <c r="C23" s="607">
        <f>ROUND(C49*ПГ!$F$2,-1)</f>
        <v>9960</v>
      </c>
      <c r="E23" s="608">
        <f>VLOOKUP(A23,СГИ!$A$8:$G$27,7,TRUE)</f>
        <v>1</v>
      </c>
      <c r="F23" s="609">
        <f>ROUND(F49*ПГ!$F$2,-1)</f>
        <v>12200</v>
      </c>
      <c r="G23" s="609">
        <f>ROUND(G49*ПГ!$F$2,-1)</f>
        <v>0</v>
      </c>
    </row>
    <row r="24" spans="1:7" ht="12.75">
      <c r="A24" s="617" t="str">
        <f t="shared" si="0"/>
        <v>БР-10, динрельс</v>
      </c>
      <c r="B24" s="618"/>
      <c r="C24" s="619">
        <f>ROUND(C50*ПГ!$F$2,-1)</f>
        <v>1930</v>
      </c>
      <c r="D24" s="620" t="str">
        <f>D50</f>
        <v>10 реле</v>
      </c>
      <c r="G24" s="222"/>
    </row>
    <row r="25" spans="1:9" ht="12.75">
      <c r="A25" s="621" t="str">
        <f t="shared" si="0"/>
        <v>блок искрозащиты</v>
      </c>
      <c r="B25" s="218"/>
      <c r="C25" s="622">
        <f>ROUND(C51*ПГ!$F$2,-1)</f>
        <v>2800</v>
      </c>
      <c r="D25" s="623" t="str">
        <f>D51</f>
        <v>1 на канал</v>
      </c>
      <c r="F25" s="624" t="s">
        <v>508</v>
      </c>
      <c r="G25" s="625"/>
      <c r="H25" s="625"/>
      <c r="I25" s="626"/>
    </row>
    <row r="26" spans="1:9" s="222" customFormat="1" ht="12.75">
      <c r="A26" s="627" t="str">
        <f t="shared" si="0"/>
        <v>блок БППН</v>
      </c>
      <c r="B26" s="628"/>
      <c r="C26" s="629">
        <f>ROUND(C52*ПГ!$F$2,-1)</f>
        <v>4150</v>
      </c>
      <c r="D26" s="630" t="str">
        <f>D52</f>
        <v>1 на 4 кан.</v>
      </c>
      <c r="E26" s="1"/>
      <c r="F26" s="631" t="s">
        <v>509</v>
      </c>
      <c r="G26" s="632"/>
      <c r="H26" s="632"/>
      <c r="I26" s="633"/>
    </row>
    <row r="27" spans="1:9" s="222" customFormat="1" ht="12.75">
      <c r="A27" s="1"/>
      <c r="B27" s="1"/>
      <c r="C27" s="1"/>
      <c r="D27" s="1"/>
      <c r="F27" s="634" t="str">
        <f>CONCATENATE("цена на ",ПГ!$G$2)</f>
        <v>цена на 01.05.2016</v>
      </c>
      <c r="G27" s="635"/>
      <c r="H27" s="635"/>
      <c r="I27" s="636"/>
    </row>
    <row r="28" spans="1:9" s="222" customFormat="1" ht="12.75">
      <c r="A28" s="637"/>
      <c r="B28" s="638" t="str">
        <f>CONCATENATE("цена на ",ПГ!$G$2)</f>
        <v>цена на 01.05.2016</v>
      </c>
      <c r="C28" s="583"/>
      <c r="D28" s="1"/>
      <c r="F28" s="572" t="s">
        <v>498</v>
      </c>
      <c r="G28" s="604" t="s">
        <v>499</v>
      </c>
      <c r="H28" s="573" t="s">
        <v>500</v>
      </c>
      <c r="I28" s="573" t="s">
        <v>500</v>
      </c>
    </row>
    <row r="29" spans="1:9" s="222" customFormat="1" ht="12.75">
      <c r="A29" s="203" t="s">
        <v>365</v>
      </c>
      <c r="B29" s="639" t="s">
        <v>510</v>
      </c>
      <c r="C29" s="640" t="s">
        <v>502</v>
      </c>
      <c r="D29" s="1"/>
      <c r="F29" s="574" t="s">
        <v>504</v>
      </c>
      <c r="G29" s="635" t="s">
        <v>505</v>
      </c>
      <c r="H29" s="574" t="s">
        <v>504</v>
      </c>
      <c r="I29" s="574" t="s">
        <v>505</v>
      </c>
    </row>
    <row r="30" spans="1:9" s="222" customFormat="1" ht="14.25">
      <c r="A30" s="556" t="s">
        <v>511</v>
      </c>
      <c r="B30" s="741">
        <v>8060</v>
      </c>
      <c r="C30" s="742">
        <v>4580</v>
      </c>
      <c r="D30" s="1"/>
      <c r="F30" s="746">
        <v>9040</v>
      </c>
      <c r="G30" s="641"/>
      <c r="H30" s="746">
        <v>6550</v>
      </c>
      <c r="I30" s="746">
        <v>3690</v>
      </c>
    </row>
    <row r="31" spans="1:9" s="222" customFormat="1" ht="14.25">
      <c r="A31" s="498" t="s">
        <v>512</v>
      </c>
      <c r="B31" s="732">
        <v>8060</v>
      </c>
      <c r="C31" s="731">
        <v>4580</v>
      </c>
      <c r="D31" s="1"/>
      <c r="F31" s="747">
        <v>9040</v>
      </c>
      <c r="G31" s="642"/>
      <c r="H31" s="747">
        <v>6550</v>
      </c>
      <c r="I31" s="747">
        <v>3690</v>
      </c>
    </row>
    <row r="32" spans="1:9" s="222" customFormat="1" ht="37.5" customHeight="1">
      <c r="A32" s="498" t="s">
        <v>513</v>
      </c>
      <c r="B32" s="732">
        <v>6550</v>
      </c>
      <c r="C32" s="731">
        <v>4580</v>
      </c>
      <c r="D32" s="1"/>
      <c r="F32" s="747">
        <v>7570</v>
      </c>
      <c r="G32" s="642"/>
      <c r="H32" s="747">
        <v>6550</v>
      </c>
      <c r="I32" s="747">
        <v>3690</v>
      </c>
    </row>
    <row r="33" spans="1:9" s="222" customFormat="1" ht="37.5" customHeight="1">
      <c r="A33" s="498" t="s">
        <v>36</v>
      </c>
      <c r="B33" s="732">
        <v>13900</v>
      </c>
      <c r="C33" s="731">
        <v>4580</v>
      </c>
      <c r="D33" s="1" t="s">
        <v>574</v>
      </c>
      <c r="F33" s="748" t="s">
        <v>506</v>
      </c>
      <c r="G33" s="642"/>
      <c r="H33" s="754"/>
      <c r="I33" s="747"/>
    </row>
    <row r="34" spans="1:9" s="222" customFormat="1" ht="41.25" customHeight="1">
      <c r="A34" s="498" t="s">
        <v>514</v>
      </c>
      <c r="B34" s="732">
        <v>8410</v>
      </c>
      <c r="C34" s="731">
        <v>9620</v>
      </c>
      <c r="D34" s="1"/>
      <c r="F34" s="748">
        <v>10990</v>
      </c>
      <c r="G34" s="643">
        <v>0</v>
      </c>
      <c r="H34" s="754"/>
      <c r="I34" s="747"/>
    </row>
    <row r="35" spans="1:13" ht="39.75" customHeight="1">
      <c r="A35" s="498" t="s">
        <v>136</v>
      </c>
      <c r="B35" s="732">
        <v>8690</v>
      </c>
      <c r="C35" s="731">
        <v>4580</v>
      </c>
      <c r="E35" s="222"/>
      <c r="F35" s="748">
        <v>8690</v>
      </c>
      <c r="G35" s="644">
        <v>0</v>
      </c>
      <c r="H35" s="754"/>
      <c r="I35" s="747"/>
      <c r="J35" s="222"/>
      <c r="K35" s="222"/>
      <c r="L35" s="222"/>
      <c r="M35" s="222"/>
    </row>
    <row r="36" spans="1:13" ht="12.75">
      <c r="A36" s="498" t="s">
        <v>380</v>
      </c>
      <c r="B36" s="732">
        <v>8060</v>
      </c>
      <c r="C36" s="731">
        <v>4580</v>
      </c>
      <c r="E36" s="222"/>
      <c r="F36" s="749">
        <v>9040</v>
      </c>
      <c r="G36" s="642">
        <v>0</v>
      </c>
      <c r="H36" s="749">
        <v>6550</v>
      </c>
      <c r="I36" s="747">
        <v>3690</v>
      </c>
      <c r="J36" s="222"/>
      <c r="K36" s="222"/>
      <c r="L36" s="222"/>
      <c r="M36" s="222"/>
    </row>
    <row r="37" spans="1:13" ht="14.25">
      <c r="A37" s="498" t="s">
        <v>515</v>
      </c>
      <c r="B37" s="743">
        <v>15250</v>
      </c>
      <c r="C37" s="731">
        <v>6540</v>
      </c>
      <c r="E37" s="222"/>
      <c r="F37" s="750">
        <v>16720</v>
      </c>
      <c r="G37" s="642"/>
      <c r="H37" s="750"/>
      <c r="I37" s="750"/>
      <c r="J37" s="222"/>
      <c r="K37" s="222"/>
      <c r="L37" s="222"/>
      <c r="M37" s="222"/>
    </row>
    <row r="38" spans="1:13" ht="12.75">
      <c r="A38" s="498" t="s">
        <v>182</v>
      </c>
      <c r="B38" s="732">
        <v>16760</v>
      </c>
      <c r="C38" s="731">
        <v>6540</v>
      </c>
      <c r="E38" s="222"/>
      <c r="F38" s="751">
        <v>18210</v>
      </c>
      <c r="G38" s="642"/>
      <c r="H38" s="755"/>
      <c r="I38" s="755"/>
      <c r="J38" s="222"/>
      <c r="K38" s="222"/>
      <c r="L38" s="222"/>
      <c r="M38" s="222"/>
    </row>
    <row r="39" spans="1:13" ht="14.25">
      <c r="A39" s="498" t="s">
        <v>516</v>
      </c>
      <c r="B39" s="732">
        <v>18880</v>
      </c>
      <c r="C39" s="731">
        <v>9490</v>
      </c>
      <c r="E39" s="222"/>
      <c r="F39" s="752">
        <v>24540</v>
      </c>
      <c r="G39" s="643">
        <v>0</v>
      </c>
      <c r="H39" s="756"/>
      <c r="I39" s="747"/>
      <c r="J39" s="222"/>
      <c r="K39" s="222"/>
      <c r="L39" s="222"/>
      <c r="M39" s="222"/>
    </row>
    <row r="40" spans="1:13" ht="14.25">
      <c r="A40" s="498" t="s">
        <v>517</v>
      </c>
      <c r="B40" s="732">
        <v>21070</v>
      </c>
      <c r="C40" s="731">
        <v>9960</v>
      </c>
      <c r="E40" s="222"/>
      <c r="F40" s="753">
        <v>28070</v>
      </c>
      <c r="G40" s="645">
        <v>0</v>
      </c>
      <c r="H40" s="756"/>
      <c r="I40" s="749"/>
      <c r="J40" s="222"/>
      <c r="K40" s="222"/>
      <c r="L40" s="222"/>
      <c r="M40" s="222"/>
    </row>
    <row r="41" spans="1:13" ht="14.25">
      <c r="A41" s="498" t="s">
        <v>518</v>
      </c>
      <c r="B41" s="732">
        <v>8060</v>
      </c>
      <c r="C41" s="731">
        <v>4580</v>
      </c>
      <c r="E41" s="222"/>
      <c r="F41" s="753">
        <v>9040</v>
      </c>
      <c r="G41" s="645">
        <v>0</v>
      </c>
      <c r="H41" s="756">
        <v>6550</v>
      </c>
      <c r="I41" s="747">
        <v>3690</v>
      </c>
      <c r="J41" s="222"/>
      <c r="K41" s="222"/>
      <c r="L41" s="222"/>
      <c r="M41" s="222"/>
    </row>
    <row r="42" spans="1:13" ht="14.25">
      <c r="A42" s="498" t="s">
        <v>519</v>
      </c>
      <c r="B42" s="732">
        <v>8900</v>
      </c>
      <c r="C42" s="731">
        <v>9620</v>
      </c>
      <c r="E42" s="222"/>
      <c r="F42" s="753">
        <v>11810</v>
      </c>
      <c r="G42" s="645">
        <v>0</v>
      </c>
      <c r="H42" s="756"/>
      <c r="I42" s="749"/>
      <c r="J42" s="222"/>
      <c r="K42" s="222"/>
      <c r="L42" s="222"/>
      <c r="M42" s="222"/>
    </row>
    <row r="43" spans="1:13" ht="12.75">
      <c r="A43" s="498" t="s">
        <v>48</v>
      </c>
      <c r="B43" s="732">
        <v>19550</v>
      </c>
      <c r="C43" s="731">
        <v>9960</v>
      </c>
      <c r="E43" s="222"/>
      <c r="F43" s="753">
        <v>21070</v>
      </c>
      <c r="G43" s="645">
        <v>0</v>
      </c>
      <c r="H43" s="756"/>
      <c r="I43" s="749"/>
      <c r="J43" s="222"/>
      <c r="K43" s="222"/>
      <c r="L43" s="222"/>
      <c r="M43" s="222"/>
    </row>
    <row r="44" spans="1:13" ht="12.75">
      <c r="A44" s="498" t="s">
        <v>117</v>
      </c>
      <c r="B44" s="732">
        <v>22720</v>
      </c>
      <c r="C44" s="731">
        <v>9960</v>
      </c>
      <c r="E44" s="222"/>
      <c r="F44" s="753">
        <v>28070</v>
      </c>
      <c r="G44" s="645">
        <v>0</v>
      </c>
      <c r="H44" s="756"/>
      <c r="I44" s="749"/>
      <c r="J44" s="222"/>
      <c r="K44" s="222"/>
      <c r="L44" s="222"/>
      <c r="M44" s="222"/>
    </row>
    <row r="45" spans="1:13" ht="14.25">
      <c r="A45" s="498" t="s">
        <v>520</v>
      </c>
      <c r="B45" s="732">
        <v>9940</v>
      </c>
      <c r="C45" s="731">
        <v>9620</v>
      </c>
      <c r="E45" s="222"/>
      <c r="F45" s="753">
        <v>13020</v>
      </c>
      <c r="G45" s="645">
        <v>0</v>
      </c>
      <c r="H45" s="756"/>
      <c r="I45" s="749"/>
      <c r="J45" s="222"/>
      <c r="K45" s="222"/>
      <c r="L45" s="222"/>
      <c r="M45" s="222"/>
    </row>
    <row r="46" spans="1:13" ht="14.25">
      <c r="A46" s="498" t="s">
        <v>521</v>
      </c>
      <c r="B46" s="732">
        <v>11980</v>
      </c>
      <c r="C46" s="731">
        <v>9960</v>
      </c>
      <c r="E46" s="222"/>
      <c r="F46" s="753">
        <v>15150</v>
      </c>
      <c r="G46" s="645">
        <v>0</v>
      </c>
      <c r="H46" s="756"/>
      <c r="I46" s="749"/>
      <c r="J46" s="222"/>
      <c r="K46" s="222"/>
      <c r="L46" s="222"/>
      <c r="M46" s="222"/>
    </row>
    <row r="47" spans="1:13" ht="14.25">
      <c r="A47" s="498" t="s">
        <v>522</v>
      </c>
      <c r="B47" s="732">
        <v>9210</v>
      </c>
      <c r="C47" s="731">
        <v>9960</v>
      </c>
      <c r="E47" s="222"/>
      <c r="F47" s="752">
        <v>11420</v>
      </c>
      <c r="G47" s="644">
        <v>0</v>
      </c>
      <c r="H47" s="756">
        <v>43230</v>
      </c>
      <c r="I47" s="749"/>
      <c r="J47" s="222"/>
      <c r="K47" s="222"/>
      <c r="L47" s="222"/>
      <c r="M47" s="222"/>
    </row>
    <row r="48" spans="1:13" ht="14.25">
      <c r="A48" s="498" t="s">
        <v>523</v>
      </c>
      <c r="B48" s="732">
        <v>9720</v>
      </c>
      <c r="C48" s="731">
        <v>14750</v>
      </c>
      <c r="E48" s="222"/>
      <c r="F48" s="749">
        <v>16880</v>
      </c>
      <c r="G48" s="530" t="s">
        <v>506</v>
      </c>
      <c r="H48" s="749"/>
      <c r="I48" s="749"/>
      <c r="J48" s="222"/>
      <c r="K48" s="222"/>
      <c r="L48" s="222"/>
      <c r="M48" s="222"/>
    </row>
    <row r="49" spans="1:13" ht="14.25">
      <c r="A49" s="539" t="s">
        <v>524</v>
      </c>
      <c r="B49" s="744">
        <v>9210</v>
      </c>
      <c r="C49" s="745">
        <v>9960</v>
      </c>
      <c r="E49" s="222"/>
      <c r="F49" s="750">
        <v>12200</v>
      </c>
      <c r="G49" s="646">
        <v>0</v>
      </c>
      <c r="H49" s="750"/>
      <c r="I49" s="750"/>
      <c r="J49" s="222"/>
      <c r="K49" s="222"/>
      <c r="L49" s="222"/>
      <c r="M49" s="222"/>
    </row>
    <row r="50" spans="1:13" ht="12.75">
      <c r="A50" s="617" t="s">
        <v>525</v>
      </c>
      <c r="B50" s="604"/>
      <c r="C50" s="757">
        <v>1930</v>
      </c>
      <c r="D50" s="640" t="s">
        <v>526</v>
      </c>
      <c r="E50" s="222"/>
      <c r="L50" s="222"/>
      <c r="M50" s="222"/>
    </row>
    <row r="51" spans="1:13" ht="12.75">
      <c r="A51" s="647" t="s">
        <v>527</v>
      </c>
      <c r="B51" s="604"/>
      <c r="C51" s="758">
        <v>2800</v>
      </c>
      <c r="D51" s="648" t="s">
        <v>528</v>
      </c>
      <c r="E51" s="222"/>
      <c r="L51" s="222"/>
      <c r="M51" s="222"/>
    </row>
    <row r="52" spans="1:13" ht="12.75">
      <c r="A52" s="649" t="s">
        <v>529</v>
      </c>
      <c r="B52" s="635"/>
      <c r="C52" s="759">
        <v>4150</v>
      </c>
      <c r="D52" s="636" t="s">
        <v>530</v>
      </c>
      <c r="E52" s="222"/>
      <c r="L52" s="222"/>
      <c r="M52" s="222"/>
    </row>
  </sheetData>
  <sheetProtection sheet="1" objects="1" scenarios="1" autoFilter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U25">
      <selection activeCell="A25" sqref="A1:T16384"/>
    </sheetView>
  </sheetViews>
  <sheetFormatPr defaultColWidth="9.00390625" defaultRowHeight="12.75"/>
  <cols>
    <col min="1" max="2" width="9.125" style="1" hidden="1" customWidth="1"/>
    <col min="3" max="3" width="10.125" style="1" hidden="1" customWidth="1"/>
    <col min="4" max="6" width="9.125" style="1" hidden="1" customWidth="1"/>
    <col min="7" max="17" width="9.125" style="0" hidden="1" customWidth="1"/>
    <col min="18" max="18" width="9.125" style="1" hidden="1" customWidth="1"/>
    <col min="19" max="19" width="10.875" style="1" hidden="1" customWidth="1"/>
    <col min="20" max="20" width="10.25390625" style="1" hidden="1" customWidth="1"/>
    <col min="21" max="22" width="8.875" style="1" customWidth="1"/>
    <col min="26" max="16384" width="8.875" style="1" customWidth="1"/>
  </cols>
  <sheetData>
    <row r="1" spans="1:12" ht="12" customHeight="1" thickBot="1">
      <c r="A1" s="650" t="s">
        <v>531</v>
      </c>
      <c r="B1" s="651">
        <v>0</v>
      </c>
      <c r="C1"/>
      <c r="E1" s="652" t="str">
        <f>CONCATENATE("месяцев от ",G2)</f>
        <v>месяцев от 01.05.2016</v>
      </c>
      <c r="F1" s="653">
        <f>12*(L1-I1)+(K1-H1)</f>
        <v>0</v>
      </c>
      <c r="G1">
        <f>DATEVALUE(G2)</f>
        <v>42491</v>
      </c>
      <c r="H1" s="654">
        <f>MONTH(G1)</f>
        <v>5</v>
      </c>
      <c r="I1" s="654">
        <f>YEAR(G1)</f>
        <v>2016</v>
      </c>
      <c r="J1" s="655">
        <f ca="1">TODAY()</f>
        <v>42496</v>
      </c>
      <c r="K1" s="654">
        <f>MONTH(J1)</f>
        <v>5</v>
      </c>
      <c r="L1" s="485">
        <f>YEAR(J1)</f>
        <v>2016</v>
      </c>
    </row>
    <row r="2" spans="1:14" ht="12" customHeight="1" thickBot="1">
      <c r="A2" s="473" t="s">
        <v>452</v>
      </c>
      <c r="B2" s="247">
        <f>СГИ!B1</f>
        <v>0.18</v>
      </c>
      <c r="C2"/>
      <c r="E2" s="656" t="s">
        <v>532</v>
      </c>
      <c r="F2" s="657">
        <f>(1+B1*F1)</f>
        <v>1</v>
      </c>
      <c r="G2" s="658" t="s">
        <v>608</v>
      </c>
      <c r="H2" s="476" t="s">
        <v>533</v>
      </c>
      <c r="I2" s="659"/>
      <c r="J2" s="660">
        <f ca="1">TODAY()</f>
        <v>42496</v>
      </c>
      <c r="K2" s="659" t="s">
        <v>534</v>
      </c>
      <c r="L2" s="661"/>
      <c r="N2" s="662"/>
    </row>
    <row r="3" spans="3:8" ht="12" customHeight="1" thickBot="1">
      <c r="C3" s="637"/>
      <c r="D3" s="663"/>
      <c r="E3" s="652" t="s">
        <v>535</v>
      </c>
      <c r="F3" s="664">
        <f>1+0.1*(L1-I1)</f>
        <v>1</v>
      </c>
      <c r="G3" s="665" t="s">
        <v>536</v>
      </c>
      <c r="H3" s="494"/>
    </row>
    <row r="4" spans="1:10" ht="12" customHeight="1" thickBot="1">
      <c r="A4" s="480" t="str">
        <f>CONCATENATE("цены без НДС, с учетом инфляции ",B1*100," %/мес")</f>
        <v>цены без НДС, с учетом инфляции 0 %/мес</v>
      </c>
      <c r="B4" s="481"/>
      <c r="C4" s="481"/>
      <c r="J4" s="472"/>
    </row>
    <row r="5" spans="1:19" ht="12" customHeight="1" thickBot="1">
      <c r="A5" s="247"/>
      <c r="B5" s="666" t="s">
        <v>361</v>
      </c>
      <c r="C5" s="585"/>
      <c r="D5" s="666" t="s">
        <v>537</v>
      </c>
      <c r="E5" s="640"/>
      <c r="R5" s="671" t="str">
        <f>R38</f>
        <v>цена канала</v>
      </c>
      <c r="S5" s="671" t="str">
        <f>S38</f>
        <v>цена корпуса</v>
      </c>
    </row>
    <row r="6" spans="1:18" ht="24.75" thickBot="1">
      <c r="A6" s="203" t="s">
        <v>365</v>
      </c>
      <c r="B6" s="637" t="s">
        <v>422</v>
      </c>
      <c r="C6" s="583" t="s">
        <v>356</v>
      </c>
      <c r="D6" s="637" t="s">
        <v>422</v>
      </c>
      <c r="E6" s="583" t="s">
        <v>356</v>
      </c>
      <c r="G6" s="667" t="s">
        <v>321</v>
      </c>
      <c r="H6" s="668" t="s">
        <v>361</v>
      </c>
      <c r="I6" s="667" t="s">
        <v>538</v>
      </c>
      <c r="J6" s="669" t="s">
        <v>539</v>
      </c>
      <c r="L6" s="670" t="s">
        <v>321</v>
      </c>
      <c r="M6" s="671" t="s">
        <v>361</v>
      </c>
      <c r="N6" s="667" t="s">
        <v>538</v>
      </c>
      <c r="O6" s="669" t="s">
        <v>539</v>
      </c>
      <c r="R6" s="802" t="str">
        <f>R39</f>
        <v>ОКА моноблок</v>
      </c>
    </row>
    <row r="7" spans="1:19" ht="27" customHeight="1" thickBot="1">
      <c r="A7" s="672" t="str">
        <f aca="true" t="shared" si="0" ref="A7:A24">A40</f>
        <v>O2</v>
      </c>
      <c r="B7" s="639">
        <f aca="true" t="shared" si="1" ref="B7:E18">ROUND(B40*$F$2,-1)</f>
        <v>8760</v>
      </c>
      <c r="C7" s="640">
        <f t="shared" si="1"/>
        <v>9390</v>
      </c>
      <c r="D7" s="673">
        <f t="shared" si="1"/>
        <v>2270</v>
      </c>
      <c r="E7" s="640">
        <f t="shared" si="1"/>
        <v>2270</v>
      </c>
      <c r="G7" s="674" t="s">
        <v>540</v>
      </c>
      <c r="H7" s="736">
        <v>7670</v>
      </c>
      <c r="I7" s="736">
        <v>2340</v>
      </c>
      <c r="J7" s="675" t="s">
        <v>539</v>
      </c>
      <c r="L7" s="674" t="s">
        <v>540</v>
      </c>
      <c r="M7" s="737">
        <v>7860</v>
      </c>
      <c r="N7" s="737">
        <v>2340</v>
      </c>
      <c r="O7" s="675" t="s">
        <v>539</v>
      </c>
      <c r="Q7" s="802" t="str">
        <f aca="true" t="shared" si="2" ref="Q7:Q14">Q40</f>
        <v>O2</v>
      </c>
      <c r="R7" s="640">
        <f aca="true" t="shared" si="3" ref="R7:S14">ROUND(R40*$F$2,-1)</f>
        <v>8560</v>
      </c>
      <c r="S7" s="640">
        <f t="shared" si="3"/>
        <v>2270</v>
      </c>
    </row>
    <row r="8" spans="1:19" ht="12.75" customHeight="1" thickBot="1">
      <c r="A8" s="672" t="str">
        <f t="shared" si="0"/>
        <v>H2</v>
      </c>
      <c r="B8" s="351">
        <f t="shared" si="1"/>
        <v>7450</v>
      </c>
      <c r="C8" s="677">
        <f t="shared" si="1"/>
        <v>7490</v>
      </c>
      <c r="D8" s="678">
        <f t="shared" si="1"/>
        <v>2230</v>
      </c>
      <c r="E8" s="677">
        <f t="shared" si="1"/>
        <v>2230</v>
      </c>
      <c r="G8" s="679" t="s">
        <v>541</v>
      </c>
      <c r="H8" s="736">
        <v>7670</v>
      </c>
      <c r="I8" s="736">
        <v>2340</v>
      </c>
      <c r="J8" s="680" t="s">
        <v>539</v>
      </c>
      <c r="L8" s="679" t="s">
        <v>541</v>
      </c>
      <c r="M8" s="737">
        <v>7860</v>
      </c>
      <c r="N8" s="737">
        <v>2340</v>
      </c>
      <c r="O8" s="680" t="s">
        <v>539</v>
      </c>
      <c r="Q8" s="803" t="str">
        <f t="shared" si="2"/>
        <v>H2</v>
      </c>
      <c r="R8" s="640">
        <f t="shared" si="3"/>
        <v>7300</v>
      </c>
      <c r="S8" s="640">
        <f t="shared" si="3"/>
        <v>2230</v>
      </c>
    </row>
    <row r="9" spans="1:19" ht="28.5" customHeight="1" thickBot="1">
      <c r="A9" s="672" t="str">
        <f t="shared" si="0"/>
        <v>CO как горючий</v>
      </c>
      <c r="B9" s="351">
        <f t="shared" si="1"/>
        <v>7450</v>
      </c>
      <c r="C9" s="677">
        <f t="shared" si="1"/>
        <v>7490</v>
      </c>
      <c r="D9" s="678">
        <f t="shared" si="1"/>
        <v>2230</v>
      </c>
      <c r="E9" s="677">
        <f t="shared" si="1"/>
        <v>2230</v>
      </c>
      <c r="G9" s="681" t="s">
        <v>542</v>
      </c>
      <c r="H9" s="736">
        <v>7670</v>
      </c>
      <c r="I9" s="736">
        <v>2340</v>
      </c>
      <c r="J9" s="680" t="s">
        <v>539</v>
      </c>
      <c r="L9" s="681" t="s">
        <v>542</v>
      </c>
      <c r="M9" s="737">
        <v>7860</v>
      </c>
      <c r="N9" s="737">
        <v>2340</v>
      </c>
      <c r="O9" s="680" t="s">
        <v>539</v>
      </c>
      <c r="Q9" s="803" t="str">
        <f t="shared" si="2"/>
        <v>CO как горючий</v>
      </c>
      <c r="R9" s="640">
        <f t="shared" si="3"/>
        <v>7300</v>
      </c>
      <c r="S9" s="640">
        <f t="shared" si="3"/>
        <v>2230</v>
      </c>
    </row>
    <row r="10" spans="1:19" ht="12.75" customHeight="1" thickBot="1">
      <c r="A10" s="672" t="str">
        <f t="shared" si="0"/>
        <v>CH4</v>
      </c>
      <c r="B10" s="351">
        <f t="shared" si="1"/>
        <v>7450</v>
      </c>
      <c r="C10" s="677">
        <f t="shared" si="1"/>
        <v>7640</v>
      </c>
      <c r="D10" s="351">
        <f t="shared" si="1"/>
        <v>2270</v>
      </c>
      <c r="E10" s="677">
        <f t="shared" si="1"/>
        <v>2270</v>
      </c>
      <c r="G10" s="679" t="s">
        <v>36</v>
      </c>
      <c r="H10" s="737">
        <v>20700</v>
      </c>
      <c r="I10" s="737">
        <v>2340</v>
      </c>
      <c r="J10" s="680" t="s">
        <v>539</v>
      </c>
      <c r="L10" s="679" t="s">
        <v>36</v>
      </c>
      <c r="M10" s="737">
        <v>20700</v>
      </c>
      <c r="N10" s="737">
        <v>2340</v>
      </c>
      <c r="O10" s="680" t="s">
        <v>539</v>
      </c>
      <c r="Q10" s="803" t="str">
        <f t="shared" si="2"/>
        <v>CH4</v>
      </c>
      <c r="R10" s="640">
        <f t="shared" si="3"/>
        <v>7450</v>
      </c>
      <c r="S10" s="640">
        <f t="shared" si="3"/>
        <v>2270</v>
      </c>
    </row>
    <row r="11" spans="1:19" ht="23.25" customHeight="1" thickBot="1">
      <c r="A11" s="672" t="str">
        <f t="shared" si="0"/>
        <v>C3H8</v>
      </c>
      <c r="B11" s="351">
        <f t="shared" si="1"/>
        <v>7450</v>
      </c>
      <c r="C11" s="677">
        <f t="shared" si="1"/>
        <v>7490</v>
      </c>
      <c r="D11" s="351">
        <f t="shared" si="1"/>
        <v>2230</v>
      </c>
      <c r="E11" s="677">
        <f t="shared" si="1"/>
        <v>2230</v>
      </c>
      <c r="G11" s="679" t="s">
        <v>543</v>
      </c>
      <c r="H11" s="737">
        <v>10480</v>
      </c>
      <c r="I11" s="737">
        <v>2340</v>
      </c>
      <c r="J11" s="680" t="s">
        <v>539</v>
      </c>
      <c r="L11" s="682" t="s">
        <v>544</v>
      </c>
      <c r="M11" s="740">
        <v>10480</v>
      </c>
      <c r="N11" s="740">
        <v>2340</v>
      </c>
      <c r="O11" s="684" t="s">
        <v>539</v>
      </c>
      <c r="Q11" s="803" t="str">
        <f t="shared" si="2"/>
        <v>CH4 с зондом</v>
      </c>
      <c r="R11" s="640">
        <f t="shared" si="3"/>
        <v>8600</v>
      </c>
      <c r="S11" s="640">
        <f t="shared" si="3"/>
        <v>5510</v>
      </c>
    </row>
    <row r="12" spans="1:19" ht="28.5" customHeight="1" thickBot="1">
      <c r="A12" s="672" t="str">
        <f t="shared" si="0"/>
        <v>C6H14</v>
      </c>
      <c r="B12" s="351">
        <f t="shared" si="1"/>
        <v>7450</v>
      </c>
      <c r="C12" s="677">
        <f t="shared" si="1"/>
        <v>7490</v>
      </c>
      <c r="D12" s="678">
        <f t="shared" si="1"/>
        <v>2230</v>
      </c>
      <c r="E12" s="677">
        <f t="shared" si="1"/>
        <v>2230</v>
      </c>
      <c r="G12" s="685" t="s">
        <v>380</v>
      </c>
      <c r="H12" s="737">
        <v>7670</v>
      </c>
      <c r="I12" s="737">
        <v>2340</v>
      </c>
      <c r="J12" s="680" t="s">
        <v>539</v>
      </c>
      <c r="L12" s="679" t="s">
        <v>380</v>
      </c>
      <c r="M12" s="737">
        <v>7860</v>
      </c>
      <c r="N12" s="737">
        <v>2340</v>
      </c>
      <c r="O12" s="680" t="s">
        <v>539</v>
      </c>
      <c r="Q12" s="803" t="str">
        <f t="shared" si="2"/>
        <v>C3H8</v>
      </c>
      <c r="R12" s="640">
        <f t="shared" si="3"/>
        <v>7300</v>
      </c>
      <c r="S12" s="640">
        <f t="shared" si="3"/>
        <v>2230</v>
      </c>
    </row>
    <row r="13" spans="1:19" ht="22.5" customHeight="1" thickBot="1">
      <c r="A13" s="672" t="str">
        <f t="shared" si="0"/>
        <v>CHir</v>
      </c>
      <c r="B13" s="351">
        <f t="shared" si="1"/>
        <v>19710</v>
      </c>
      <c r="C13" s="677">
        <f t="shared" si="1"/>
        <v>19710</v>
      </c>
      <c r="D13" s="678">
        <f t="shared" si="1"/>
        <v>2230</v>
      </c>
      <c r="E13" s="677">
        <f t="shared" si="1"/>
        <v>2230</v>
      </c>
      <c r="G13" s="685" t="s">
        <v>545</v>
      </c>
      <c r="H13" s="737">
        <v>10480</v>
      </c>
      <c r="I13" s="737">
        <v>2340</v>
      </c>
      <c r="J13" s="680" t="s">
        <v>539</v>
      </c>
      <c r="L13" s="29" t="s">
        <v>546</v>
      </c>
      <c r="M13" s="737">
        <v>10480</v>
      </c>
      <c r="N13" s="737">
        <v>2340</v>
      </c>
      <c r="O13" s="680" t="s">
        <v>539</v>
      </c>
      <c r="Q13" s="803" t="str">
        <f t="shared" si="2"/>
        <v>C6H14</v>
      </c>
      <c r="R13" s="640">
        <f t="shared" si="3"/>
        <v>7300</v>
      </c>
      <c r="S13" s="640">
        <f t="shared" si="3"/>
        <v>2230</v>
      </c>
    </row>
    <row r="14" spans="1:19" ht="23.25" customHeight="1" thickBot="1">
      <c r="A14" s="672" t="str">
        <f t="shared" si="0"/>
        <v>CO</v>
      </c>
      <c r="B14" s="351">
        <f t="shared" si="1"/>
        <v>10180</v>
      </c>
      <c r="C14" s="677">
        <f t="shared" si="1"/>
        <v>10180</v>
      </c>
      <c r="D14" s="678">
        <f t="shared" si="1"/>
        <v>2270</v>
      </c>
      <c r="E14" s="677">
        <f t="shared" si="1"/>
        <v>2270</v>
      </c>
      <c r="G14" s="686" t="s">
        <v>51</v>
      </c>
      <c r="H14" s="676">
        <f>ПГ!B24</f>
        <v>19770</v>
      </c>
      <c r="I14" s="676">
        <f>ПГ!D24</f>
        <v>2120</v>
      </c>
      <c r="J14" s="680" t="s">
        <v>539</v>
      </c>
      <c r="L14" s="686" t="s">
        <v>51</v>
      </c>
      <c r="M14" s="676">
        <f>ПГ!C24</f>
        <v>19770</v>
      </c>
      <c r="N14" s="676">
        <f>ПГ!E24</f>
        <v>2120</v>
      </c>
      <c r="O14" s="680" t="s">
        <v>539</v>
      </c>
      <c r="Q14" s="803" t="str">
        <f t="shared" si="2"/>
        <v>CHir</v>
      </c>
      <c r="R14" s="640">
        <f t="shared" si="3"/>
        <v>19710</v>
      </c>
      <c r="S14" s="640">
        <f t="shared" si="3"/>
        <v>2230</v>
      </c>
    </row>
    <row r="15" spans="1:19" ht="24.75" customHeight="1" thickBot="1">
      <c r="A15" s="672" t="str">
        <f t="shared" si="0"/>
        <v>H2S</v>
      </c>
      <c r="B15" s="351">
        <f t="shared" si="1"/>
        <v>10180</v>
      </c>
      <c r="C15" s="677">
        <f t="shared" si="1"/>
        <v>10180</v>
      </c>
      <c r="D15" s="678">
        <f t="shared" si="1"/>
        <v>2270</v>
      </c>
      <c r="E15" s="677">
        <f t="shared" si="1"/>
        <v>2270</v>
      </c>
      <c r="G15" s="679" t="s">
        <v>547</v>
      </c>
      <c r="H15" s="737">
        <v>7670</v>
      </c>
      <c r="I15" s="737">
        <v>2340</v>
      </c>
      <c r="J15" s="680" t="s">
        <v>539</v>
      </c>
      <c r="L15" s="679" t="s">
        <v>548</v>
      </c>
      <c r="M15" s="737">
        <v>24640</v>
      </c>
      <c r="N15" s="737">
        <v>2340</v>
      </c>
      <c r="O15" s="680" t="s">
        <v>539</v>
      </c>
      <c r="Q15" s="803" t="str">
        <f aca="true" t="shared" si="4" ref="Q15:Q23">Q48</f>
        <v>CO</v>
      </c>
      <c r="R15" s="640">
        <f aca="true" t="shared" si="5" ref="R15:S23">ROUND(R48*$F$2,-1)</f>
        <v>10180</v>
      </c>
      <c r="S15" s="640">
        <f t="shared" si="5"/>
        <v>2270</v>
      </c>
    </row>
    <row r="16" spans="1:19" ht="24.75" customHeight="1" thickBot="1">
      <c r="A16" s="672" t="str">
        <f t="shared" si="0"/>
        <v>SO2</v>
      </c>
      <c r="B16" s="351">
        <f t="shared" si="1"/>
        <v>9980</v>
      </c>
      <c r="C16" s="677">
        <f t="shared" si="1"/>
        <v>9980</v>
      </c>
      <c r="D16" s="351">
        <f t="shared" si="1"/>
        <v>2230</v>
      </c>
      <c r="E16" s="677">
        <f t="shared" si="1"/>
        <v>2230</v>
      </c>
      <c r="G16" s="679" t="s">
        <v>48</v>
      </c>
      <c r="H16" s="737">
        <v>20110</v>
      </c>
      <c r="I16" s="737">
        <v>2340</v>
      </c>
      <c r="J16" s="680" t="s">
        <v>539</v>
      </c>
      <c r="L16" s="679" t="s">
        <v>547</v>
      </c>
      <c r="M16" s="737">
        <v>7860</v>
      </c>
      <c r="N16" s="737">
        <v>2340</v>
      </c>
      <c r="O16" s="680" t="s">
        <v>539</v>
      </c>
      <c r="Q16" s="803" t="str">
        <f t="shared" si="4"/>
        <v>H2S</v>
      </c>
      <c r="R16" s="640">
        <f t="shared" si="5"/>
        <v>10180</v>
      </c>
      <c r="S16" s="640">
        <f t="shared" si="5"/>
        <v>2270</v>
      </c>
    </row>
    <row r="17" spans="1:19" ht="24" customHeight="1" thickBot="1">
      <c r="A17" s="672" t="str">
        <f t="shared" si="0"/>
        <v>Cl2</v>
      </c>
      <c r="B17" s="351">
        <f t="shared" si="1"/>
        <v>9980</v>
      </c>
      <c r="C17" s="677">
        <f t="shared" si="1"/>
        <v>9980</v>
      </c>
      <c r="D17" s="351">
        <f t="shared" si="1"/>
        <v>2230</v>
      </c>
      <c r="E17" s="677">
        <f t="shared" si="1"/>
        <v>2230</v>
      </c>
      <c r="G17" s="679" t="s">
        <v>59</v>
      </c>
      <c r="H17" s="737">
        <v>11630</v>
      </c>
      <c r="I17" s="737">
        <v>2110</v>
      </c>
      <c r="J17" s="680" t="s">
        <v>539</v>
      </c>
      <c r="L17" s="679" t="s">
        <v>117</v>
      </c>
      <c r="M17" s="737">
        <v>24640</v>
      </c>
      <c r="N17" s="737">
        <v>2340</v>
      </c>
      <c r="O17" s="680"/>
      <c r="Q17" s="803" t="str">
        <f t="shared" si="4"/>
        <v>SO2</v>
      </c>
      <c r="R17" s="640">
        <f t="shared" si="5"/>
        <v>9980</v>
      </c>
      <c r="S17" s="640">
        <f t="shared" si="5"/>
        <v>2230</v>
      </c>
    </row>
    <row r="18" spans="1:19" ht="24.75" customHeight="1" thickBot="1">
      <c r="A18" s="672" t="str">
        <f t="shared" si="0"/>
        <v>NH3</v>
      </c>
      <c r="B18" s="351">
        <f t="shared" si="1"/>
        <v>11080</v>
      </c>
      <c r="C18" s="677">
        <f t="shared" si="1"/>
        <v>11080</v>
      </c>
      <c r="D18" s="678">
        <f t="shared" si="1"/>
        <v>2010</v>
      </c>
      <c r="E18" s="648">
        <f t="shared" si="1"/>
        <v>2010</v>
      </c>
      <c r="G18" s="687" t="s">
        <v>61</v>
      </c>
      <c r="H18" s="737">
        <v>12140</v>
      </c>
      <c r="I18" s="737">
        <v>2340</v>
      </c>
      <c r="J18" s="680" t="s">
        <v>539</v>
      </c>
      <c r="L18" s="688" t="s">
        <v>59</v>
      </c>
      <c r="M18" s="737">
        <v>11630</v>
      </c>
      <c r="N18" s="737">
        <v>2110</v>
      </c>
      <c r="O18" s="680" t="s">
        <v>539</v>
      </c>
      <c r="Q18" s="803" t="str">
        <f t="shared" si="4"/>
        <v>Cl2</v>
      </c>
      <c r="R18" s="640">
        <f t="shared" si="5"/>
        <v>9980</v>
      </c>
      <c r="S18" s="640">
        <f t="shared" si="5"/>
        <v>2230</v>
      </c>
    </row>
    <row r="19" spans="1:19" ht="12.75" customHeight="1" thickBot="1">
      <c r="A19" s="672" t="str">
        <f t="shared" si="0"/>
        <v>NO2</v>
      </c>
      <c r="B19" s="351">
        <f>ROUND(B52*$F$2,-1)</f>
        <v>11560</v>
      </c>
      <c r="C19" s="689" t="s">
        <v>549</v>
      </c>
      <c r="D19" s="678">
        <f>ROUND(D52*$F$2,-1)</f>
        <v>2230</v>
      </c>
      <c r="E19" s="689" t="s">
        <v>549</v>
      </c>
      <c r="G19" s="690" t="s">
        <v>344</v>
      </c>
      <c r="H19" s="738">
        <v>8810</v>
      </c>
      <c r="I19" s="738">
        <v>2340</v>
      </c>
      <c r="J19" s="691" t="s">
        <v>539</v>
      </c>
      <c r="L19" s="692" t="s">
        <v>344</v>
      </c>
      <c r="M19" s="737">
        <v>9460</v>
      </c>
      <c r="N19" s="737">
        <v>2340</v>
      </c>
      <c r="O19" s="680" t="s">
        <v>539</v>
      </c>
      <c r="Q19" s="803" t="str">
        <f t="shared" si="4"/>
        <v>NH3</v>
      </c>
      <c r="R19" s="640">
        <f t="shared" si="5"/>
        <v>11080</v>
      </c>
      <c r="S19" s="640">
        <f t="shared" si="5"/>
        <v>2230</v>
      </c>
    </row>
    <row r="20" spans="1:19" ht="12.75" customHeight="1" thickBot="1">
      <c r="A20" s="672" t="str">
        <f t="shared" si="0"/>
        <v>HCl</v>
      </c>
      <c r="B20" s="351">
        <f>ROUND(B53*$F$2,-1)</f>
        <v>19150</v>
      </c>
      <c r="C20" s="689" t="s">
        <v>549</v>
      </c>
      <c r="D20" s="678">
        <f>ROUND(D53*$F$2,-1)</f>
        <v>2230</v>
      </c>
      <c r="E20" s="689" t="s">
        <v>549</v>
      </c>
      <c r="G20" s="693" t="str">
        <f>A31</f>
        <v>зонд 0.5, 0.75, 1.0 м</v>
      </c>
      <c r="H20" s="738">
        <v>5650</v>
      </c>
      <c r="I20" s="739"/>
      <c r="L20" s="694" t="s">
        <v>550</v>
      </c>
      <c r="M20" s="683">
        <f>ПГ!C21</f>
        <v>17000</v>
      </c>
      <c r="N20" s="683">
        <f>ПГ!E21</f>
        <v>2230</v>
      </c>
      <c r="O20" s="695" t="s">
        <v>539</v>
      </c>
      <c r="Q20" s="803" t="str">
        <f t="shared" si="4"/>
        <v>NO2</v>
      </c>
      <c r="R20" s="640">
        <f t="shared" si="5"/>
        <v>11560</v>
      </c>
      <c r="S20" s="640">
        <f t="shared" si="5"/>
        <v>2230</v>
      </c>
    </row>
    <row r="21" spans="1:19" ht="24.75" customHeight="1" thickBot="1">
      <c r="A21" s="672" t="str">
        <f t="shared" si="0"/>
        <v>O3</v>
      </c>
      <c r="B21" s="601" t="s">
        <v>549</v>
      </c>
      <c r="C21" s="677">
        <f>ROUND(C54*$F$2,-1)</f>
        <v>17000</v>
      </c>
      <c r="D21" s="612" t="s">
        <v>549</v>
      </c>
      <c r="E21" s="648">
        <f>ROUND(E54*$F$2,-1)</f>
        <v>2230</v>
      </c>
      <c r="F21" s="1" t="s">
        <v>117</v>
      </c>
      <c r="Q21" s="803" t="str">
        <f t="shared" si="4"/>
        <v>HCl</v>
      </c>
      <c r="R21" s="640">
        <f t="shared" si="5"/>
        <v>19150</v>
      </c>
      <c r="S21" s="640">
        <f t="shared" si="5"/>
        <v>2230</v>
      </c>
    </row>
    <row r="22" spans="1:19" ht="24" customHeight="1" thickBot="1">
      <c r="A22" s="672" t="str">
        <f t="shared" si="0"/>
        <v>F2</v>
      </c>
      <c r="B22" s="351">
        <f>ROUND(B55*$F$2,-1)</f>
        <v>21820</v>
      </c>
      <c r="C22" s="677">
        <f>ROUND(C55*$F$2,-1)</f>
        <v>21820</v>
      </c>
      <c r="D22" s="678">
        <f>ROUND(D55*$F$2,-1)</f>
        <v>2230</v>
      </c>
      <c r="E22" s="677">
        <f>ROUND(E55*$F$2,-1)</f>
        <v>2230</v>
      </c>
      <c r="G22" s="696" t="s">
        <v>551</v>
      </c>
      <c r="H22" s="733">
        <v>3310</v>
      </c>
      <c r="J22" s="697"/>
      <c r="L22" s="696" t="s">
        <v>551</v>
      </c>
      <c r="M22" s="734">
        <v>3310</v>
      </c>
      <c r="Q22" s="804" t="str">
        <f t="shared" si="4"/>
        <v>HF</v>
      </c>
      <c r="R22" s="801">
        <f t="shared" si="5"/>
        <v>23470</v>
      </c>
      <c r="S22" s="801">
        <f t="shared" si="5"/>
        <v>2230</v>
      </c>
    </row>
    <row r="23" spans="1:19" ht="23.25" customHeight="1" thickBot="1">
      <c r="A23" s="672" t="str">
        <f t="shared" si="0"/>
        <v>HF</v>
      </c>
      <c r="B23" s="351">
        <f>ROUND(B56*$F$2,-1)</f>
        <v>23470</v>
      </c>
      <c r="C23" s="677">
        <f>ROUND(C56*$F$2,-1)</f>
        <v>23470</v>
      </c>
      <c r="D23" s="678">
        <f>ROUND(D56*$F$2,-1)</f>
        <v>2230</v>
      </c>
      <c r="E23" s="677">
        <f>ROUND(E56*$F$2,-1)</f>
        <v>2230</v>
      </c>
      <c r="G23" s="698" t="s">
        <v>552</v>
      </c>
      <c r="H23" s="733">
        <v>4410</v>
      </c>
      <c r="L23" s="698" t="s">
        <v>552</v>
      </c>
      <c r="M23" s="734">
        <v>4410</v>
      </c>
      <c r="Q23" s="804" t="str">
        <f t="shared" si="4"/>
        <v>CO2</v>
      </c>
      <c r="R23" s="801">
        <f t="shared" si="5"/>
        <v>19770</v>
      </c>
      <c r="S23" s="801">
        <f t="shared" si="5"/>
        <v>2230</v>
      </c>
    </row>
    <row r="24" spans="1:13" ht="26.25" customHeight="1" thickBot="1">
      <c r="A24" s="672" t="str">
        <f t="shared" si="0"/>
        <v>CO2</v>
      </c>
      <c r="B24" s="351">
        <f>ROUND(B57*$F$2,-1)</f>
        <v>19770</v>
      </c>
      <c r="C24" s="699">
        <f>ROUND(C57*$F$2,-1)</f>
        <v>19770</v>
      </c>
      <c r="D24" s="700">
        <f>ROUND(D57*$F$2,-1)</f>
        <v>2120</v>
      </c>
      <c r="E24" s="699">
        <f>ROUND(E57*$F$2,-1)</f>
        <v>2120</v>
      </c>
      <c r="G24" s="701" t="s">
        <v>553</v>
      </c>
      <c r="H24" s="733">
        <v>5510</v>
      </c>
      <c r="L24" s="701" t="s">
        <v>553</v>
      </c>
      <c r="M24" s="735">
        <v>5510</v>
      </c>
    </row>
    <row r="25" spans="2:13" ht="24" customHeight="1" thickBot="1">
      <c r="B25" s="702" t="str">
        <f aca="true" t="shared" si="6" ref="B25:B30">B58</f>
        <v>взрывозащита,</v>
      </c>
      <c r="G25" s="703" t="s">
        <v>554</v>
      </c>
      <c r="H25" s="733">
        <v>6620</v>
      </c>
      <c r="L25" s="703" t="s">
        <v>554</v>
      </c>
      <c r="M25" s="735">
        <v>6620</v>
      </c>
    </row>
    <row r="26" ht="23.25" customHeight="1" thickBot="1">
      <c r="B26" s="704" t="str">
        <f t="shared" si="6"/>
        <v>число каналов:</v>
      </c>
    </row>
    <row r="27" spans="1:15" ht="23.25" customHeight="1" thickBot="1">
      <c r="A27" s="637" t="s">
        <v>551</v>
      </c>
      <c r="B27" s="705">
        <f t="shared" si="6"/>
        <v>1</v>
      </c>
      <c r="C27" s="706">
        <f>ROUND(C60*$F$2,-1)</f>
        <v>3210</v>
      </c>
      <c r="G27" s="493" t="str">
        <f>CONCATENATE("инфляционная наценка добавлена с ",ПГ!G2)</f>
        <v>инфляционная наценка добавлена с 01.05.2016</v>
      </c>
      <c r="H27" s="665"/>
      <c r="I27" s="665"/>
      <c r="J27" s="494"/>
      <c r="L27" s="493"/>
      <c r="M27" s="665"/>
      <c r="N27" s="665"/>
      <c r="O27" s="494"/>
    </row>
    <row r="28" spans="1:3" ht="13.5" thickBot="1">
      <c r="A28" s="663" t="s">
        <v>552</v>
      </c>
      <c r="B28" s="705">
        <f t="shared" si="6"/>
        <v>2</v>
      </c>
      <c r="C28" s="707">
        <f>ROUND(C61*$F$2,-1)</f>
        <v>4280</v>
      </c>
    </row>
    <row r="29" spans="1:7" ht="13.5" thickBot="1">
      <c r="A29" s="583" t="s">
        <v>553</v>
      </c>
      <c r="B29" s="705">
        <f t="shared" si="6"/>
        <v>3</v>
      </c>
      <c r="C29" s="707">
        <f>ROUND(C62*$F$2,-1)</f>
        <v>5360</v>
      </c>
      <c r="G29" s="1" t="s">
        <v>556</v>
      </c>
    </row>
    <row r="30" spans="1:7" ht="13.5" thickBot="1">
      <c r="A30" s="583" t="s">
        <v>554</v>
      </c>
      <c r="B30" s="708">
        <f t="shared" si="6"/>
        <v>4</v>
      </c>
      <c r="C30" s="709">
        <f>ROUND(C63*$F$2,-1)</f>
        <v>6430</v>
      </c>
      <c r="G30" s="417" t="s">
        <v>557</v>
      </c>
    </row>
    <row r="31" spans="1:7" ht="12.75">
      <c r="A31" s="710" t="str">
        <f>A64</f>
        <v>зонд 0.5, 0.75, 1.0 м</v>
      </c>
      <c r="B31" s="351">
        <f>ROUND(B64*$F$2,-1)</f>
        <v>5380</v>
      </c>
      <c r="G31" s="417" t="s">
        <v>558</v>
      </c>
    </row>
    <row r="32" ht="12.75">
      <c r="G32" s="417" t="s">
        <v>559</v>
      </c>
    </row>
    <row r="33" ht="12.75">
      <c r="G33" s="417" t="s">
        <v>560</v>
      </c>
    </row>
    <row r="37" ht="13.5" thickBot="1"/>
    <row r="38" spans="2:19" ht="22.5" customHeight="1" thickBot="1">
      <c r="B38" s="711" t="str">
        <f>CONCATENATE("цена канала на ",$G$2)</f>
        <v>цена канала на 01.05.2016</v>
      </c>
      <c r="C38" s="712"/>
      <c r="D38" s="711" t="str">
        <f>CONCATENATE("цена корпуса на ",$G$2)</f>
        <v>цена корпуса на 01.05.2016</v>
      </c>
      <c r="E38" s="583"/>
      <c r="R38" s="671" t="s">
        <v>361</v>
      </c>
      <c r="S38" s="671" t="s">
        <v>537</v>
      </c>
    </row>
    <row r="39" spans="1:20" ht="28.5" customHeight="1" thickBot="1">
      <c r="A39" s="203" t="s">
        <v>365</v>
      </c>
      <c r="B39" s="351" t="s">
        <v>422</v>
      </c>
      <c r="C39" s="677" t="s">
        <v>356</v>
      </c>
      <c r="D39" s="218" t="s">
        <v>422</v>
      </c>
      <c r="E39" s="677" t="s">
        <v>356</v>
      </c>
      <c r="F39" s="913">
        <v>42491</v>
      </c>
      <c r="R39" s="218" t="s">
        <v>573</v>
      </c>
      <c r="T39" s="913">
        <v>42491</v>
      </c>
    </row>
    <row r="40" spans="1:20" ht="32.25" customHeight="1">
      <c r="A40" s="672" t="s">
        <v>474</v>
      </c>
      <c r="B40" s="713">
        <v>8760</v>
      </c>
      <c r="C40" s="714">
        <v>9390</v>
      </c>
      <c r="D40" s="728">
        <v>2270</v>
      </c>
      <c r="E40" s="728">
        <v>2270</v>
      </c>
      <c r="F40" s="837" t="s">
        <v>607</v>
      </c>
      <c r="G40" s="914" t="s">
        <v>609</v>
      </c>
      <c r="Q40" s="1" t="s">
        <v>474</v>
      </c>
      <c r="R40" s="728">
        <v>8560</v>
      </c>
      <c r="S40" s="728">
        <v>2270</v>
      </c>
      <c r="T40" s="837" t="s">
        <v>607</v>
      </c>
    </row>
    <row r="41" spans="1:19" ht="12.75">
      <c r="A41" s="672" t="s">
        <v>377</v>
      </c>
      <c r="B41" s="728">
        <v>7450</v>
      </c>
      <c r="C41" s="729">
        <v>7490</v>
      </c>
      <c r="D41" s="728">
        <v>2230</v>
      </c>
      <c r="E41" s="728">
        <v>2230</v>
      </c>
      <c r="F41" s="837" t="s">
        <v>607</v>
      </c>
      <c r="Q41" s="1" t="s">
        <v>377</v>
      </c>
      <c r="R41" s="728">
        <v>7300</v>
      </c>
      <c r="S41" s="728">
        <v>2230</v>
      </c>
    </row>
    <row r="42" spans="1:19" ht="13.5" thickBot="1">
      <c r="A42" s="715" t="s">
        <v>380</v>
      </c>
      <c r="B42" s="728">
        <v>7450</v>
      </c>
      <c r="C42" s="729">
        <v>7490</v>
      </c>
      <c r="D42" s="728">
        <v>2230</v>
      </c>
      <c r="E42" s="728">
        <v>2230</v>
      </c>
      <c r="F42" s="837" t="s">
        <v>607</v>
      </c>
      <c r="Q42" s="1" t="s">
        <v>380</v>
      </c>
      <c r="R42" s="728">
        <v>7300</v>
      </c>
      <c r="S42" s="728">
        <v>2230</v>
      </c>
    </row>
    <row r="43" spans="1:20" ht="13.5" thickBot="1">
      <c r="A43" s="672" t="s">
        <v>290</v>
      </c>
      <c r="B43" s="728">
        <v>7450</v>
      </c>
      <c r="C43" s="729">
        <v>7640</v>
      </c>
      <c r="D43" s="728">
        <v>2270</v>
      </c>
      <c r="E43" s="728">
        <v>2270</v>
      </c>
      <c r="F43" s="837" t="s">
        <v>607</v>
      </c>
      <c r="Q43" s="1" t="s">
        <v>290</v>
      </c>
      <c r="R43" s="728">
        <v>7450</v>
      </c>
      <c r="S43" s="809">
        <f>2270</f>
        <v>2270</v>
      </c>
      <c r="T43" s="837" t="s">
        <v>607</v>
      </c>
    </row>
    <row r="44" spans="1:19" ht="13.5" thickBot="1">
      <c r="A44" s="715" t="s">
        <v>292</v>
      </c>
      <c r="B44" s="728">
        <v>7450</v>
      </c>
      <c r="C44" s="729">
        <v>7490</v>
      </c>
      <c r="D44" s="728">
        <v>2230</v>
      </c>
      <c r="E44" s="728">
        <v>2230</v>
      </c>
      <c r="F44" s="837" t="s">
        <v>607</v>
      </c>
      <c r="Q44" s="1" t="s">
        <v>572</v>
      </c>
      <c r="R44" s="808">
        <f>4500+4100</f>
        <v>8600</v>
      </c>
      <c r="S44" s="808">
        <f>2000+3510</f>
        <v>5510</v>
      </c>
    </row>
    <row r="45" spans="1:19" ht="12.75">
      <c r="A45" s="716" t="s">
        <v>293</v>
      </c>
      <c r="B45" s="728">
        <v>7450</v>
      </c>
      <c r="C45" s="729">
        <v>7490</v>
      </c>
      <c r="D45" s="728">
        <v>2230</v>
      </c>
      <c r="E45" s="728">
        <v>2230</v>
      </c>
      <c r="F45" s="837" t="s">
        <v>607</v>
      </c>
      <c r="Q45" s="1" t="s">
        <v>292</v>
      </c>
      <c r="R45" s="728">
        <v>7300</v>
      </c>
      <c r="S45" s="728">
        <v>2230</v>
      </c>
    </row>
    <row r="46" spans="1:19" ht="13.5" thickBot="1">
      <c r="A46" s="498" t="s">
        <v>555</v>
      </c>
      <c r="B46" s="728">
        <v>19710</v>
      </c>
      <c r="C46" s="729">
        <v>19710</v>
      </c>
      <c r="D46" s="728">
        <v>2230</v>
      </c>
      <c r="E46" s="728">
        <v>2230</v>
      </c>
      <c r="Q46" s="1" t="s">
        <v>293</v>
      </c>
      <c r="R46" s="728">
        <v>7300</v>
      </c>
      <c r="S46" s="728">
        <v>2230</v>
      </c>
    </row>
    <row r="47" spans="1:20" ht="13.5" thickBot="1">
      <c r="A47" s="672" t="s">
        <v>136</v>
      </c>
      <c r="B47" s="728">
        <v>10180</v>
      </c>
      <c r="C47" s="729">
        <v>10180</v>
      </c>
      <c r="D47" s="728">
        <v>2270</v>
      </c>
      <c r="E47" s="728">
        <v>2270</v>
      </c>
      <c r="F47" s="837" t="s">
        <v>607</v>
      </c>
      <c r="Q47" s="812" t="s">
        <v>555</v>
      </c>
      <c r="R47" s="838">
        <v>19710</v>
      </c>
      <c r="S47" s="728">
        <v>2230</v>
      </c>
      <c r="T47" s="839">
        <v>42309</v>
      </c>
    </row>
    <row r="48" spans="1:20" ht="12.75">
      <c r="A48" s="672" t="s">
        <v>471</v>
      </c>
      <c r="B48" s="728">
        <v>10180</v>
      </c>
      <c r="C48" s="729">
        <v>10180</v>
      </c>
      <c r="D48" s="728">
        <v>2270</v>
      </c>
      <c r="E48" s="728">
        <v>2270</v>
      </c>
      <c r="F48" s="837" t="s">
        <v>607</v>
      </c>
      <c r="Q48" s="1" t="s">
        <v>136</v>
      </c>
      <c r="R48" s="728">
        <v>10180</v>
      </c>
      <c r="S48" s="728">
        <v>2270</v>
      </c>
      <c r="T48" s="837" t="s">
        <v>607</v>
      </c>
    </row>
    <row r="49" spans="1:20" ht="13.5" thickBot="1">
      <c r="A49" s="718" t="s">
        <v>267</v>
      </c>
      <c r="B49" s="728">
        <v>9980</v>
      </c>
      <c r="C49" s="729">
        <v>9980</v>
      </c>
      <c r="D49" s="728">
        <v>2230</v>
      </c>
      <c r="E49" s="728">
        <v>2230</v>
      </c>
      <c r="Q49" s="1" t="s">
        <v>471</v>
      </c>
      <c r="R49" s="728">
        <v>10180</v>
      </c>
      <c r="S49" s="728">
        <v>2270</v>
      </c>
      <c r="T49" s="837" t="s">
        <v>607</v>
      </c>
    </row>
    <row r="50" spans="1:19" ht="12.75">
      <c r="A50" s="672" t="s">
        <v>463</v>
      </c>
      <c r="B50" s="728">
        <v>9980</v>
      </c>
      <c r="C50" s="729">
        <v>9980</v>
      </c>
      <c r="D50" s="728">
        <v>2230</v>
      </c>
      <c r="E50" s="728">
        <v>2230</v>
      </c>
      <c r="Q50" s="1" t="s">
        <v>267</v>
      </c>
      <c r="R50" s="728">
        <v>9980</v>
      </c>
      <c r="S50" s="728">
        <v>2230</v>
      </c>
    </row>
    <row r="51" spans="1:19" ht="12.75">
      <c r="A51" s="672" t="s">
        <v>472</v>
      </c>
      <c r="B51" s="728">
        <v>11080</v>
      </c>
      <c r="C51" s="729">
        <v>11080</v>
      </c>
      <c r="D51" s="728">
        <v>2010</v>
      </c>
      <c r="E51" s="728">
        <v>2010</v>
      </c>
      <c r="Q51" s="1" t="s">
        <v>463</v>
      </c>
      <c r="R51" s="728">
        <v>9980</v>
      </c>
      <c r="S51" s="728">
        <v>2230</v>
      </c>
    </row>
    <row r="52" spans="1:19" ht="12.75">
      <c r="A52" s="672" t="s">
        <v>473</v>
      </c>
      <c r="B52" s="728">
        <v>11560</v>
      </c>
      <c r="C52" s="730" t="s">
        <v>549</v>
      </c>
      <c r="D52" s="728">
        <v>2230</v>
      </c>
      <c r="E52" s="731" t="s">
        <v>549</v>
      </c>
      <c r="Q52" s="1" t="s">
        <v>472</v>
      </c>
      <c r="R52" s="728">
        <v>11080</v>
      </c>
      <c r="S52" s="728">
        <v>2230</v>
      </c>
    </row>
    <row r="53" spans="1:19" ht="12.75">
      <c r="A53" s="672" t="s">
        <v>48</v>
      </c>
      <c r="B53" s="728">
        <v>19150</v>
      </c>
      <c r="C53" s="730" t="s">
        <v>549</v>
      </c>
      <c r="D53" s="728">
        <v>2230</v>
      </c>
      <c r="E53" s="731" t="s">
        <v>549</v>
      </c>
      <c r="Q53" s="1" t="s">
        <v>473</v>
      </c>
      <c r="R53" s="728">
        <v>11560</v>
      </c>
      <c r="S53" s="728">
        <v>2230</v>
      </c>
    </row>
    <row r="54" spans="1:19" ht="12.75">
      <c r="A54" s="672" t="s">
        <v>489</v>
      </c>
      <c r="B54" s="732" t="s">
        <v>549</v>
      </c>
      <c r="C54" s="729">
        <v>17000</v>
      </c>
      <c r="D54" s="732" t="s">
        <v>549</v>
      </c>
      <c r="E54" s="728">
        <v>2230</v>
      </c>
      <c r="Q54" s="1" t="s">
        <v>48</v>
      </c>
      <c r="R54" s="728">
        <v>19150</v>
      </c>
      <c r="S54" s="728">
        <v>2230</v>
      </c>
    </row>
    <row r="55" spans="1:19" ht="13.5" thickBot="1">
      <c r="A55" s="672" t="s">
        <v>466</v>
      </c>
      <c r="B55" s="728">
        <v>21820</v>
      </c>
      <c r="C55" s="729">
        <v>21820</v>
      </c>
      <c r="D55" s="728">
        <v>2230</v>
      </c>
      <c r="E55" s="728">
        <v>2230</v>
      </c>
      <c r="Q55" s="1" t="s">
        <v>117</v>
      </c>
      <c r="R55" s="728">
        <v>23470</v>
      </c>
      <c r="S55" s="728">
        <v>2230</v>
      </c>
    </row>
    <row r="56" spans="1:19" ht="13.5" thickBot="1">
      <c r="A56" s="672" t="s">
        <v>117</v>
      </c>
      <c r="B56" s="728">
        <v>23470</v>
      </c>
      <c r="C56" s="728">
        <v>23470</v>
      </c>
      <c r="D56" s="728">
        <v>2230</v>
      </c>
      <c r="E56" s="728">
        <v>2230</v>
      </c>
      <c r="Q56" s="812" t="s">
        <v>465</v>
      </c>
      <c r="R56" s="838">
        <v>19770</v>
      </c>
      <c r="S56" s="728">
        <v>2230</v>
      </c>
    </row>
    <row r="57" spans="1:7" ht="13.5" thickBot="1">
      <c r="A57" s="716" t="s">
        <v>465</v>
      </c>
      <c r="B57" s="713">
        <v>19770</v>
      </c>
      <c r="C57" s="714">
        <v>19770</v>
      </c>
      <c r="D57" s="728">
        <v>2120</v>
      </c>
      <c r="E57" s="728">
        <v>2120</v>
      </c>
      <c r="F57" s="837"/>
      <c r="G57" s="1"/>
    </row>
    <row r="58" ht="12.75">
      <c r="B58" s="719" t="s">
        <v>561</v>
      </c>
    </row>
    <row r="59" spans="2:4" ht="13.5" thickBot="1">
      <c r="B59" s="720" t="s">
        <v>562</v>
      </c>
      <c r="D59" s="913">
        <v>42491</v>
      </c>
    </row>
    <row r="60" spans="1:18" ht="13.5" thickBot="1">
      <c r="A60" s="721" t="s">
        <v>551</v>
      </c>
      <c r="B60" s="722">
        <v>1</v>
      </c>
      <c r="C60" s="723">
        <v>3210</v>
      </c>
      <c r="D60" s="837" t="s">
        <v>607</v>
      </c>
      <c r="R60" s="1" t="s">
        <v>575</v>
      </c>
    </row>
    <row r="61" spans="1:18" ht="13.5" thickBot="1">
      <c r="A61" s="724" t="s">
        <v>552</v>
      </c>
      <c r="B61" s="722">
        <v>2</v>
      </c>
      <c r="C61" s="725">
        <v>4280</v>
      </c>
      <c r="D61" s="837" t="s">
        <v>607</v>
      </c>
      <c r="R61" s="1" t="s">
        <v>576</v>
      </c>
    </row>
    <row r="62" spans="1:4" ht="13.5" thickBot="1">
      <c r="A62" s="726" t="s">
        <v>553</v>
      </c>
      <c r="B62" s="722">
        <v>3</v>
      </c>
      <c r="C62" s="725">
        <v>5360</v>
      </c>
      <c r="D62" s="837" t="s">
        <v>607</v>
      </c>
    </row>
    <row r="63" spans="1:4" ht="13.5" thickBot="1">
      <c r="A63" s="726" t="s">
        <v>554</v>
      </c>
      <c r="B63" s="722">
        <v>4</v>
      </c>
      <c r="C63" s="709">
        <v>6430</v>
      </c>
      <c r="D63" s="837" t="s">
        <v>607</v>
      </c>
    </row>
    <row r="64" spans="1:2" ht="24">
      <c r="A64" s="687" t="s">
        <v>563</v>
      </c>
      <c r="B64" s="1">
        <v>5380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dcterms:created xsi:type="dcterms:W3CDTF">2009-04-29T07:53:59Z</dcterms:created>
  <dcterms:modified xsi:type="dcterms:W3CDTF">2016-05-06T10:12:04Z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