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97" activeTab="1"/>
  </bookViews>
  <sheets>
    <sheet name="ПРАЙС" sheetId="1" r:id="rId1"/>
    <sheet name="И21,И22-стационарные с вын. БД" sheetId="2" r:id="rId2"/>
    <sheet name="И11-Переносные с вын. БД" sheetId="3" r:id="rId3"/>
    <sheet name="И23-стац-моноблоки" sheetId="4" r:id="rId4"/>
    <sheet name="И13-персональные моноблоки" sheetId="5" r:id="rId5"/>
    <sheet name="ТС" sheetId="6" state="hidden" r:id="rId6"/>
    <sheet name="сообщения" sheetId="7" state="hidden" r:id="rId7"/>
    <sheet name="СГИ" sheetId="8" state="hidden" r:id="rId8"/>
    <sheet name="СГ1" sheetId="9" state="hidden" r:id="rId9"/>
    <sheet name="ПГ" sheetId="10" state="hidden" r:id="rId10"/>
    <sheet name="Кодировка газоанализаторов" sheetId="11" r:id="rId11"/>
  </sheets>
  <definedNames>
    <definedName name="CH4_без_индикации">'ПРАЙС'!$B$139</definedName>
    <definedName name="Excel_BuiltIn__FilterDatabase_10">'СГ1'!#REF!</definedName>
    <definedName name="Excel_BuiltIn__FilterDatabase_3">#REF!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'ПРАЙС'!$A$312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<sst xmlns="http://schemas.openxmlformats.org/spreadsheetml/2006/main" count="2163" uniqueCount="903">
  <si>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</si>
  <si>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</si>
  <si>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</si>
  <si>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</si>
  <si>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</si>
  <si>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</si>
  <si>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</si>
  <si>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</si>
  <si>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</si>
  <si>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</si>
  <si>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</si>
  <si>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</si>
  <si>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</si>
  <si>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</si>
  <si>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</si>
  <si>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</si>
  <si>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</si>
  <si>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</si>
  <si>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</si>
  <si>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</si>
  <si>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</si>
  <si>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</si>
  <si>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</si>
  <si>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</si>
  <si>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</si>
  <si>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</si>
  <si>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</si>
  <si>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</si>
  <si>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</si>
  <si>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</si>
  <si>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</si>
  <si>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</si>
  <si>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</si>
  <si>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</si>
  <si>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</si>
  <si>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</si>
  <si>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</si>
  <si>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</si>
  <si>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</si>
  <si>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</si>
  <si>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</si>
  <si>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</si>
  <si>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</si>
  <si>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</si>
  <si>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</si>
  <si>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</si>
  <si>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</si>
  <si>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</si>
  <si>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</si>
  <si>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</si>
  <si>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</si>
  <si>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</si>
  <si>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</si>
  <si>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</si>
  <si>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</si>
  <si>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</si>
  <si>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</si>
  <si>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</si>
  <si>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</si>
  <si>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</si>
  <si>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</si>
  <si>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</si>
  <si>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</si>
  <si>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</si>
  <si>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</si>
  <si>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</si>
  <si>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</si>
  <si>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</si>
  <si>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</si>
  <si>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</si>
  <si>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</si>
  <si>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</si>
  <si>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</si>
  <si>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</si>
  <si>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</si>
  <si>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</si>
  <si>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</si>
  <si>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</si>
  <si>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</si>
  <si>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</si>
  <si>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</si>
  <si>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</si>
  <si>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</si>
  <si>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</si>
  <si>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</si>
  <si>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</si>
  <si>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</si>
  <si>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</si>
  <si>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</si>
  <si>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</si>
  <si>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</si>
  <si>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</si>
  <si>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</si>
  <si>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</si>
  <si>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</si>
  <si>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</si>
  <si>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</si>
  <si>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</si>
  <si>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</si>
  <si>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</si>
  <si>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</si>
  <si>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</si>
  <si>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</si>
  <si>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</si>
  <si>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</si>
  <si>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</si>
  <si>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</si>
  <si>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</si>
  <si>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</si>
  <si>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</si>
  <si>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</si>
  <si>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</si>
  <si>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</si>
  <si>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</si>
  <si>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</si>
  <si>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</si>
  <si>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</si>
  <si>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</si>
  <si>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</si>
  <si>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</si>
  <si>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</si>
  <si>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</si>
  <si>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</si>
  <si>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</si>
  <si>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</si>
  <si>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</si>
  <si>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</si>
  <si>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</si>
  <si>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</si>
  <si>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</si>
  <si>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</si>
  <si>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</si>
  <si>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</si>
  <si>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</si>
  <si>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</si>
  <si>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</si>
  <si>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</si>
  <si>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</si>
  <si>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</si>
  <si>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</si>
  <si>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</si>
  <si>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</si>
  <si>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</si>
  <si>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</si>
  <si>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</si>
  <si>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</si>
  <si>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</si>
  <si>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</si>
  <si>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</si>
  <si>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</si>
  <si>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</si>
  <si>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</si>
  <si>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</si>
  <si>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</si>
  <si>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</si>
  <si>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</si>
  <si>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</si>
  <si>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</si>
  <si>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</si>
  <si>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</si>
  <si>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</si>
  <si>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</si>
  <si>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</si>
  <si>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</si>
  <si>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</si>
  <si>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</si>
  <si>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</si>
  <si>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</si>
  <si>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</si>
  <si>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</si>
  <si>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</si>
  <si>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</si>
  <si>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</si>
  <si>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</si>
  <si>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</si>
  <si>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</si>
  <si>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</si>
  <si>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</si>
  <si>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</si>
  <si>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</si>
  <si>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</si>
  <si>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</si>
  <si>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</si>
  <si>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</si>
  <si>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</si>
  <si>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</si>
  <si>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</si>
  <si>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</si>
  <si>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</si>
  <si>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</si>
  <si>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</si>
  <si>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</si>
  <si>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</si>
  <si>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</si>
  <si>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</si>
  <si>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</si>
  <si>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</si>
  <si>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</si>
  <si>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</si>
  <si>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</si>
  <si>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</si>
  <si>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</si>
  <si>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</si>
  <si>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</si>
  <si>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</si>
  <si>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</si>
  <si>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</si>
  <si>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</si>
  <si>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</si>
  <si>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</si>
  <si>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</si>
  <si>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</si>
  <si>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</si>
  <si>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</si>
  <si>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</si>
  <si>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</si>
  <si>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</si>
  <si>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</si>
  <si>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</si>
  <si>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</si>
  <si>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</si>
  <si>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</si>
  <si>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</si>
  <si>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</si>
  <si>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</si>
  <si>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</si>
  <si>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</si>
  <si>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</si>
  <si>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</si>
  <si>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</si>
  <si>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</si>
  <si>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</si>
  <si>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</si>
  <si>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Блок питания,                             один на каждые 8 каналов</t>
  </si>
  <si>
    <t>Барьер, на каждый канал</t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</si>
  <si>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</si>
  <si>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</si>
  <si>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t>3 - 10</t>
  </si>
  <si>
    <t>&gt;10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</si>
  <si>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</si>
  <si>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</si>
  <si>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</si>
  <si>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</si>
  <si>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</si>
  <si>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</si>
  <si>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</si>
  <si>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</si>
  <si>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</si>
  <si>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</si>
  <si>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</si>
  <si>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</si>
  <si>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</si>
  <si>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</si>
  <si>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</si>
  <si>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</si>
  <si>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</si>
  <si>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</si>
  <si>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</si>
  <si>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</si>
  <si>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</si>
  <si>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</si>
  <si>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</si>
  <si>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</si>
  <si>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</si>
  <si>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</si>
  <si>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</si>
  <si>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</si>
  <si>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</si>
  <si>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</si>
  <si>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</si>
  <si>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</si>
  <si>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</si>
  <si>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</si>
  <si>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</si>
  <si>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</si>
  <si>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</si>
  <si>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</si>
  <si>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</si>
  <si>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</si>
  <si>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</si>
  <si>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</si>
  <si>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ЗИП: блоки датчиков</t>
  </si>
  <si>
    <t>цена серийных блоков датчиков</t>
  </si>
  <si>
    <t>Датчик для г/а "Хоббит-Т", "ОКА"</t>
  </si>
  <si>
    <t>CH4</t>
  </si>
  <si>
    <t>по запросу</t>
  </si>
  <si>
    <t>C3H8</t>
  </si>
  <si>
    <t>C6H14</t>
  </si>
  <si>
    <r>
      <t>H</t>
    </r>
    <r>
      <rPr>
        <b/>
        <vertAlign val="subscript"/>
        <sz val="9"/>
        <rFont val="Times New Roman"/>
        <family val="1"/>
      </rPr>
      <t>2</t>
    </r>
  </si>
  <si>
    <t>Датчик для г/а "ОКА"</t>
  </si>
  <si>
    <t>Комплектующие и ЗИП</t>
  </si>
  <si>
    <t>Блок питания БП-35-24 (24В, 35Вт)</t>
  </si>
  <si>
    <t>Блок коммутации БР10М</t>
  </si>
  <si>
    <t>Монтажная коробка МКТ</t>
  </si>
  <si>
    <t>Тестовый кабель для стационарного г/а «ОКА» и «Хоббит-Т»</t>
  </si>
  <si>
    <t>Кабель удлинительный для стационарного г/а «ОКА» и «Хоббит-Т»</t>
  </si>
  <si>
    <t>Кабель удлинительный для стационарного г/а «Хоббит-Т» блоками сенсоров ТВ</t>
  </si>
  <si>
    <t>Аккумуляторная батарея 9В (для г/а до 2006 г.в.)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</si>
  <si>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</si>
  <si>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</si>
  <si>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</si>
  <si>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>E-mail: mail@infogas.ru</t>
  </si>
  <si>
    <t>http://www.infogas.ru</t>
  </si>
  <si>
    <t>Цены моноблоков ОКА (без НДС), количество порогов - по умолчанию</t>
  </si>
  <si>
    <t>тип г/а</t>
  </si>
  <si>
    <t>газ</t>
  </si>
  <si>
    <t>кол-во каналов</t>
  </si>
  <si>
    <t>1 - 2 шт.</t>
  </si>
  <si>
    <t>3 - 4 шт.</t>
  </si>
  <si>
    <t>5 шт. и более</t>
  </si>
  <si>
    <t>кол-во порогов</t>
  </si>
  <si>
    <t>ОКА-Т-</t>
  </si>
  <si>
    <t>ОКА-М-</t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</si>
  <si>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</si>
  <si>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</si>
  <si>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</si>
  <si>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 xml:space="preserve"> </t>
  </si>
  <si>
    <t>Стационарные</t>
  </si>
  <si>
    <t>Хоббит-Т</t>
  </si>
  <si>
    <t>описание</t>
  </si>
  <si>
    <t>цена канала</t>
  </si>
  <si>
    <t>выбранные корпуса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</si>
  <si>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</si>
  <si>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</si>
  <si>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</si>
  <si>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</si>
  <si>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</si>
  <si>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</si>
  <si>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</si>
  <si>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</si>
  <si>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</si>
  <si>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</si>
  <si>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</si>
  <si>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</si>
  <si>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</si>
  <si>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CO как горючий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</si>
  <si>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</si>
  <si>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</si>
  <si>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</si>
  <si>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</si>
  <si>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</si>
  <si>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</si>
  <si>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</si>
  <si>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</si>
  <si>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</si>
  <si>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</si>
  <si>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</si>
  <si>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</si>
  <si>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</si>
  <si>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</si>
  <si>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</si>
  <si>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t>каналов токсичных газов</t>
  </si>
  <si>
    <t>всего каналов</t>
  </si>
  <si>
    <t xml:space="preserve"> ОКА</t>
  </si>
  <si>
    <t>конфигурации</t>
  </si>
  <si>
    <t>ВВОДА колич. каналов для ОКА</t>
  </si>
  <si>
    <t>ОКА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</si>
  <si>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</si>
  <si>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</si>
  <si>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</si>
  <si>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</si>
  <si>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</si>
  <si>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</si>
  <si>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</si>
  <si>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</si>
  <si>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</si>
  <si>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</si>
  <si>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</si>
  <si>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</si>
  <si>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</si>
  <si>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</si>
  <si>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</si>
  <si>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</si>
  <si>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</si>
  <si>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</si>
  <si>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</si>
  <si>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</si>
  <si>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</si>
  <si>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</si>
  <si>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</si>
  <si>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</si>
  <si>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</si>
  <si>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</si>
  <si>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</si>
  <si>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</si>
  <si>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</si>
  <si>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Цена</t>
  </si>
  <si>
    <t>(перечень газов)</t>
  </si>
  <si>
    <t>c 1/мес.</t>
  </si>
  <si>
    <t>H2S</t>
  </si>
  <si>
    <t>NH3</t>
  </si>
  <si>
    <t>NO2</t>
  </si>
  <si>
    <t>O2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</si>
  <si>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</si>
  <si>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</si>
  <si>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</si>
  <si>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</si>
  <si>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</si>
  <si>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</si>
  <si>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</si>
  <si>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</si>
  <si>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</si>
  <si>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Трансформатор 36В</t>
  </si>
  <si>
    <t>Компрессор</t>
  </si>
  <si>
    <t>O3</t>
  </si>
  <si>
    <t>Адаптер для поверки газоанализаторов ОКАМ, ОКА92М, ОКА92Т</t>
  </si>
  <si>
    <t>Аккумуляторная батарея 9В</t>
  </si>
  <si>
    <t>Зарядное устройство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</si>
  <si>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</si>
  <si>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</si>
  <si>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</si>
  <si>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</si>
  <si>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</si>
  <si>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</si>
  <si>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</si>
  <si>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</si>
  <si>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</si>
  <si>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</si>
  <si>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</si>
  <si>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</si>
  <si>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</si>
  <si>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</si>
  <si>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</si>
  <si>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</si>
  <si>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</si>
  <si>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</si>
  <si>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</si>
  <si>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</si>
  <si>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</si>
  <si>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</si>
  <si>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</si>
  <si>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</si>
  <si>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</si>
  <si>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</si>
  <si>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</si>
  <si>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</si>
  <si>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</si>
  <si>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</si>
  <si>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</si>
  <si>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</si>
  <si>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</si>
  <si>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</si>
  <si>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</si>
  <si>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</si>
  <si>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</si>
  <si>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</si>
  <si>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</si>
  <si>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</si>
  <si>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</si>
  <si>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</si>
  <si>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</si>
  <si>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</si>
  <si>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</si>
  <si>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</si>
  <si>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</si>
  <si>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</si>
  <si>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</si>
  <si>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</si>
  <si>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</si>
  <si>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SO</t>
    </r>
    <r>
      <rPr>
        <vertAlign val="subscript"/>
        <sz val="11"/>
        <rFont val="Times New Roman"/>
        <family val="1"/>
      </rPr>
      <t>2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</si>
  <si>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</si>
  <si>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</si>
  <si>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</si>
  <si>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</si>
  <si>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</si>
  <si>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</si>
  <si>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</si>
  <si>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</si>
  <si>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</si>
  <si>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</si>
  <si>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</si>
  <si>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</si>
  <si>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</si>
  <si>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</si>
  <si>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</si>
  <si>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взрывозащита,</t>
  </si>
  <si>
    <t>число каналов:</t>
  </si>
  <si>
    <t>зонд 0.5, 0.75, 1.0 м</t>
  </si>
  <si>
    <t>O2, CO</t>
  </si>
  <si>
    <t>O2, CO, NO</t>
  </si>
  <si>
    <t>O2, NO</t>
  </si>
  <si>
    <t>Ангор-С</t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</si>
  <si>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</si>
  <si>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</si>
  <si>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</si>
  <si>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</si>
  <si>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</si>
  <si>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</si>
  <si>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</si>
  <si>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</si>
  <si>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</si>
  <si>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</si>
  <si>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</si>
  <si>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</si>
  <si>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</si>
  <si>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r>
      <t>Адаптер для  поверки г/а «ОКА» и «Хоббит-Т» на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</t>
    </r>
  </si>
  <si>
    <r>
      <t>Адаптер для  поверки г/а «ОКА» и «Хоббит-Т» (кроме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HF)</t>
    </r>
  </si>
  <si>
    <t>Микрошприц 100 мкл с прямым срезом иглы</t>
  </si>
  <si>
    <t>Цианистый водород</t>
  </si>
  <si>
    <t>60 руб/м + 100руб</t>
  </si>
  <si>
    <t>+25%</t>
  </si>
  <si>
    <t>изменена 16.02.2016</t>
  </si>
  <si>
    <t>цены без НДС, с возможностью учета инфляции 1/мес</t>
  </si>
  <si>
    <t>Уплотнитель силиконовый (септа)</t>
  </si>
  <si>
    <t>Генератор ПГСМ "ИНФАН ФХГ-HCl ЭХГР-Cl2"</t>
  </si>
  <si>
    <t>HCl, хлор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</si>
  <si>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</si>
  <si>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</si>
  <si>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Аккумуляторная сборка 2*2.4В для г/а модификаций «ОКА»</t>
  </si>
  <si>
    <t>Анализатор элементного состава "ТОПАЗ-C" с управляющим компьютером и устройством подачи чистого воздуха</t>
  </si>
  <si>
    <t>Анализатор элементного состава "ТОПАЗ-N" с управляющим компьютером и устройством подачи чистого воздуха</t>
  </si>
  <si>
    <t>Анализатор элементного состава "ТОПАЗ-NC" с управляющим компьютером и устройством подачи чистого воздуха</t>
  </si>
  <si>
    <t>Комплектующие и ЗИП к анализаторам "Топаз"</t>
  </si>
  <si>
    <t>Устройство подачи чистого воздуха</t>
  </si>
  <si>
    <t>Игла для микрошприца с прямым срезом</t>
  </si>
  <si>
    <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</si>
  <si>
    <t>CO и гор.газ</t>
  </si>
  <si>
    <t>CO и метан</t>
  </si>
  <si>
    <t>60 руб/м + 200руб</t>
  </si>
  <si>
    <t>цена блоков датчиков, выпущ. до 2009 г.</t>
  </si>
  <si>
    <t>цена на 14.05.2018</t>
  </si>
  <si>
    <t>плюс 5% на канал</t>
  </si>
  <si>
    <t>14.05.2018 +5 %/канал, начиная со второго</t>
  </si>
  <si>
    <t>Защитный кожух блока датчиков г/а "ОКА" и "Хоббит"</t>
  </si>
  <si>
    <t>Тестовый кабель, USB-RS232 DB9</t>
  </si>
  <si>
    <t>Тестовый кабель, USB-RS485 EDGK</t>
  </si>
  <si>
    <t>Тестовый кабель, USB-RS232 EDGK</t>
  </si>
  <si>
    <t>Тестовый кабель, USB-RS485 DB9</t>
  </si>
  <si>
    <t>Блок питания БП-60-24 (24В, 60Вт)</t>
  </si>
  <si>
    <t>Блок коммутации РП</t>
  </si>
  <si>
    <t>БР-10М, динрельс</t>
  </si>
  <si>
    <t>Защитный кожух блока датчиков</t>
  </si>
  <si>
    <t>+5% на все общепром. 1- и 2-канальные - в формуле цены</t>
  </si>
  <si>
    <t>Монтажная коробка МКБ</t>
  </si>
  <si>
    <t>наценка на дисплей</t>
  </si>
  <si>
    <t>базовые</t>
  </si>
  <si>
    <t>тёплые</t>
  </si>
  <si>
    <t>к газоанализаторам ОКА и Хоббит-Т, во втором - с подогревом, в третьем - с адаптацией конструкции по ТЗ заказчика</t>
  </si>
  <si>
    <t>c 15.08.2018</t>
  </si>
  <si>
    <t>05.09.2018</t>
  </si>
  <si>
    <t>05.09.2018 +5 %/оптические каналы</t>
  </si>
  <si>
    <t>11.09.2018 понизили все HCl каналы на 2000</t>
  </si>
  <si>
    <t>выравнены с одноканальными выносными</t>
  </si>
  <si>
    <t>блок индикации</t>
  </si>
  <si>
    <t>блоки датчиков</t>
  </si>
  <si>
    <t>блоки коммутации</t>
  </si>
  <si>
    <t>CO-горюч.</t>
  </si>
  <si>
    <t>наценка 9-16 каналов</t>
  </si>
  <si>
    <t>наценка на селективность</t>
  </si>
  <si>
    <t>наценка на наличие взрывозащиты горючих</t>
  </si>
  <si>
    <t>составляющие цены</t>
  </si>
  <si>
    <t>наценка на 3 канала</t>
  </si>
  <si>
    <t>наценка на взрывозащиту</t>
  </si>
  <si>
    <t>блок датчиков</t>
  </si>
  <si>
    <t>сумма</t>
  </si>
  <si>
    <t>наценка на взрыв. CH4 опт.</t>
  </si>
  <si>
    <t>наценка на 1-2 канала общепром.</t>
  </si>
  <si>
    <t>доп. наценка на нек-рые 1-кан.общепром</t>
  </si>
  <si>
    <t>корпус (как БИ)</t>
  </si>
  <si>
    <t>датчики</t>
  </si>
  <si>
    <t>наценка на 3 сенсора</t>
  </si>
  <si>
    <t>скидка на &gt; 3 каналов</t>
  </si>
  <si>
    <t>скидка на &gt; 3 сенсоров</t>
  </si>
  <si>
    <t>примечание</t>
  </si>
  <si>
    <t>взрывозащ. каналов</t>
  </si>
  <si>
    <t>взрывозащита предусмотрена</t>
  </si>
  <si>
    <t>взрывозащита выбранных каналов предусмотрена</t>
  </si>
  <si>
    <t xml:space="preserve">каналы углеводородов НЕ селективны к горючим газам; </t>
  </si>
  <si>
    <t>ошибка ввода!</t>
  </si>
  <si>
    <t>(число порогов в канале от 1 до 3)</t>
  </si>
  <si>
    <t>(всего каналов - не более 16)</t>
  </si>
  <si>
    <t xml:space="preserve">Укажите количества каналов измерения выбранных газов </t>
  </si>
  <si>
    <t>(если каналов более 2, без дисплея не выпускается)</t>
  </si>
  <si>
    <t>сигналы ошибок</t>
  </si>
  <si>
    <r>
      <t xml:space="preserve">каналы CO-горюч. </t>
    </r>
    <r>
      <rPr>
        <b/>
        <sz val="8"/>
        <color indexed="10"/>
        <rFont val="Arial Cyr"/>
        <family val="2"/>
      </rPr>
      <t>НЕ</t>
    </r>
    <r>
      <rPr>
        <sz val="8"/>
        <color indexed="10"/>
        <rFont val="Arial Cyr"/>
        <family val="2"/>
      </rPr>
      <t xml:space="preserve"> предупреждают об отравлении</t>
    </r>
    <r>
      <rPr>
        <sz val="8"/>
        <rFont val="Arial Cyr"/>
        <family val="2"/>
      </rPr>
      <t xml:space="preserve">, только о взрывоопасности; </t>
    </r>
  </si>
  <si>
    <t>взрывозащита водорода</t>
  </si>
  <si>
    <t>(взрывозащита гирлянд НЕ предусмотрена)</t>
  </si>
  <si>
    <t>(взрывозащита КНС НЕ предусмотрена)</t>
  </si>
  <si>
    <t>взрывозащита выбранных каналов НЕ предусмотрена</t>
  </si>
  <si>
    <t>(где-то введён неверный символ исполнения)</t>
  </si>
  <si>
    <t>ЦЕНЫ</t>
  </si>
  <si>
    <t>ошибка ввода каналов</t>
  </si>
  <si>
    <t>ЦЕНЫ без взрывозащиты</t>
  </si>
  <si>
    <t>ЦЕНЫ с взрывозащитой</t>
  </si>
  <si>
    <t>ошибка ввода взрывозащиты</t>
  </si>
  <si>
    <t>ЦЕНЫ (каналы водорода не взрывозащищены)</t>
  </si>
  <si>
    <t>(укажите взрывозащищённые каналы, если необходимо)</t>
  </si>
  <si>
    <t>наценки с 03.12.2014</t>
  </si>
  <si>
    <t>за гирлянду</t>
  </si>
  <si>
    <t>за КНС</t>
  </si>
  <si>
    <t>без дисплея</t>
  </si>
  <si>
    <t>(индикатор)</t>
  </si>
  <si>
    <t>(только в ОКА)</t>
  </si>
  <si>
    <t>полная цена без НДС</t>
  </si>
  <si>
    <t>Выберите тип газоанализатора:</t>
  </si>
  <si>
    <t>ОКА-</t>
  </si>
  <si>
    <r>
      <t>O</t>
    </r>
    <r>
      <rPr>
        <b/>
        <vertAlign val="subscript"/>
        <sz val="10"/>
        <color indexed="9"/>
        <rFont val="Arial Cyr"/>
        <family val="0"/>
      </rPr>
      <t>3</t>
    </r>
  </si>
  <si>
    <t>- для Хоббит-Т</t>
  </si>
  <si>
    <t>- для ОКА</t>
  </si>
  <si>
    <t>(Хоббит-Т  или  ОКА-)</t>
  </si>
  <si>
    <t>наценка на нек-рые 1-канальные общепром.</t>
  </si>
  <si>
    <t>каналов &gt;5</t>
  </si>
  <si>
    <t>(если каналов более 4, взрывозащита не обеспечивается)</t>
  </si>
  <si>
    <t>(всего каналов - не более 5)</t>
  </si>
  <si>
    <t>Выберите тип газоанализатора</t>
  </si>
  <si>
    <t xml:space="preserve">Укажите каналы измерения выбранных газов 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</si>
  <si>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</si>
  <si>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</si>
  <si>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t>(введён неверный символ)</t>
  </si>
  <si>
    <r>
      <t xml:space="preserve">взрывозащита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</t>
    </r>
  </si>
  <si>
    <t>(укажите необходимость взрывозащиты, если необходимо)</t>
  </si>
  <si>
    <t>(взрывозащита не более 2 электрохимических сенсоров)</t>
  </si>
  <si>
    <t>(каналы CHopt, NO2 и HCL - только в г/а ОКА-)</t>
  </si>
  <si>
    <t>выбранные газы</t>
  </si>
  <si>
    <r>
      <t>CH</t>
    </r>
    <r>
      <rPr>
        <b/>
        <vertAlign val="subscript"/>
        <sz val="10"/>
        <color indexed="43"/>
        <rFont val="Arial Cyr"/>
        <family val="0"/>
      </rPr>
      <t>opt</t>
    </r>
  </si>
  <si>
    <t>(каналы CHopt, NO2 и HCl - только в г/а ОКА-)</t>
  </si>
  <si>
    <t>СООБЩЕНИЯ К СТРАНИЦАМ РАСЧЁТА ЦЕН ПЕРЕНОСНЫХ Г/А С ВЫНОСНЫМИ БЛОКАМИ ДАТЧИКОВ</t>
  </si>
  <si>
    <t>каналов горючих газов (с термокатал. сенсорами)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</si>
  <si>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16 каналов</t>
    </r>
    <r>
      <rPr>
        <u val="single"/>
        <sz val="9"/>
        <rFont val="Arial Cyr"/>
        <family val="2"/>
      </rPr>
      <t xml:space="preserve">, в каналах ОКА </t>
    </r>
    <r>
      <rPr>
        <b/>
        <u val="single"/>
        <sz val="9"/>
        <rFont val="Arial Cyr"/>
        <family val="2"/>
      </rPr>
      <t>по умолчанию 1 порог</t>
    </r>
    <r>
      <rPr>
        <u val="single"/>
        <sz val="9"/>
        <rFont val="Arial Cyr"/>
        <family val="2"/>
      </rPr>
      <t xml:space="preserve"> </t>
    </r>
  </si>
  <si>
    <r>
      <t xml:space="preserve">Заполните </t>
    </r>
    <r>
      <rPr>
        <b/>
        <sz val="9"/>
        <color indexed="12"/>
        <rFont val="Arial Cyr"/>
        <family val="2"/>
      </rPr>
      <t>голубые поля</t>
    </r>
    <r>
      <rPr>
        <b/>
        <sz val="9"/>
        <rFont val="Arial Cyr"/>
        <family val="2"/>
      </rPr>
      <t>, проставив числа каналов против формул газов, подлежащих контролю</t>
    </r>
  </si>
  <si>
    <t xml:space="preserve"> – без дисплея</t>
  </si>
  <si>
    <t xml:space="preserve"> – со знакосинтезирующим дисплеем</t>
  </si>
  <si>
    <t xml:space="preserve"> – с графическим дисплеем</t>
  </si>
  <si>
    <t xml:space="preserve"> – без токового выхода</t>
  </si>
  <si>
    <t xml:space="preserve"> – 0-5 мА</t>
  </si>
  <si>
    <t xml:space="preserve"> – 4-20 мА</t>
  </si>
  <si>
    <t>-Д0</t>
  </si>
  <si>
    <t>-Д2</t>
  </si>
  <si>
    <r>
      <t xml:space="preserve">если блок индикации нужен </t>
    </r>
    <r>
      <rPr>
        <b/>
        <sz val="8"/>
        <rFont val="Arial Cyr"/>
        <family val="0"/>
      </rPr>
      <t>в метал. корпусе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0"/>
      </rPr>
      <t>1</t>
    </r>
    <r>
      <rPr>
        <sz val="8"/>
        <color indexed="57"/>
        <rFont val="Arial Cyr"/>
        <family val="0"/>
      </rPr>
      <t xml:space="preserve"> </t>
    </r>
    <r>
      <rPr>
        <b/>
        <sz val="8"/>
        <color indexed="57"/>
        <rFont val="Arial Cyr"/>
        <family val="2"/>
      </rPr>
      <t xml:space="preserve">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</si>
  <si>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-С</t>
  </si>
  <si>
    <t xml:space="preserve"> – сигнализация по RS</t>
  </si>
  <si>
    <t xml:space="preserve"> – без визуальной сигнализации</t>
  </si>
  <si>
    <t xml:space="preserve"> – с визуальной сигнализацией</t>
  </si>
  <si>
    <t xml:space="preserve"> – со звуковой сигнализацией</t>
  </si>
  <si>
    <t xml:space="preserve"> – без звуковой сигнализации</t>
  </si>
  <si>
    <t>-И21</t>
  </si>
  <si>
    <t>-И22</t>
  </si>
  <si>
    <t>код наименования:</t>
  </si>
  <si>
    <t xml:space="preserve"> – стационарный в металлическом корпусе</t>
  </si>
  <si>
    <t xml:space="preserve"> – стационарный в пластиковом корпусе с креплением на дин-рейку</t>
  </si>
  <si>
    <t>/50</t>
  </si>
  <si>
    <t xml:space="preserve"> – код IP54 всех блоков датчиков (о потребности изменить защиту - сообщать при заказе)</t>
  </si>
  <si>
    <t xml:space="preserve"> – код IP50 блоков индикации</t>
  </si>
  <si>
    <t>(з)</t>
  </si>
  <si>
    <t xml:space="preserve"> – параллельное подключение блоков датчиков к блоку индикации ("звезда") </t>
  </si>
  <si>
    <t>(г)</t>
  </si>
  <si>
    <t xml:space="preserve"> – последовательное подключение всех или некоторых блоков датчиков к блоку индикации ("гирлянда" или "звезда/гирлянда") </t>
  </si>
  <si>
    <r>
      <t>¬</t>
    </r>
    <r>
      <rPr>
        <sz val="7"/>
        <rFont val="Arial Cyr"/>
        <family val="2"/>
      </rPr>
      <t xml:space="preserve"> введите необходимые данные</t>
    </r>
  </si>
  <si>
    <t>рекомендуемое кол.   БР-10</t>
  </si>
  <si>
    <t>~220</t>
  </si>
  <si>
    <t xml:space="preserve"> – напряжение питания (при необходимости заказать другое питание - сообщать при заказе)</t>
  </si>
  <si>
    <t>-И11</t>
  </si>
  <si>
    <t xml:space="preserve"> – переносной</t>
  </si>
  <si>
    <t xml:space="preserve"> – длина линии связи между блоком датчиков и блоком индикации (по умолчанию - 6 м) </t>
  </si>
  <si>
    <t xml:space="preserve"> – сигнализации по RS нет</t>
  </si>
  <si>
    <t xml:space="preserve"> – напряжение питания от встроенного аккумулятора</t>
  </si>
  <si>
    <t>Пояснения к коду стационарного газоанализатора</t>
  </si>
  <si>
    <t>Пояснения к коду переносного газоанализатора</t>
  </si>
  <si>
    <t xml:space="preserve"> – код IP54 блоков датчиков (о потребности изменить защиту оболочкой - сообщать при заказе)</t>
  </si>
  <si>
    <r>
      <t xml:space="preserve">если взрывозащита нужна, поставьте в голубую ячейку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</si>
  <si>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>-=A5</t>
  </si>
  <si>
    <t>(взрывозащита не более 1 термокаталитического сенсора)</t>
  </si>
  <si>
    <t>(при наличии термокаталитического сенсора взрывозащита не допускает более 1 электрохимического сенсора)</t>
  </si>
  <si>
    <t>(при наличии термокаталитического сенсора взрывозащита не допускает оптических сенсоров)</t>
  </si>
  <si>
    <t>каналы CHopt, NO2 или HCl в Хоббит-Т</t>
  </si>
  <si>
    <t>формирование кода наименования</t>
  </si>
  <si>
    <t>подсказки к коду наименования</t>
  </si>
  <si>
    <t>- каналы углеводор. не селективны к горючим</t>
  </si>
  <si>
    <t>- каналы, кросс-чувствительность</t>
  </si>
  <si>
    <t>- тип г/а</t>
  </si>
  <si>
    <t>адрес сообщения</t>
  </si>
  <si>
    <t>- не указан тип г/а</t>
  </si>
  <si>
    <t>адрес примечания</t>
  </si>
  <si>
    <t>СООБЩЕНИЯ К СТРАНИЦЕ РАСЧЁТА ЦЕН СТАЦИОНАРНЫХ Г/А С ВЫНОСНЫМИ БЛОКАМИ ДАТЧИКОВ</t>
  </si>
  <si>
    <t>- для любого типа</t>
  </si>
  <si>
    <t>результат ввода</t>
  </si>
  <si>
    <t>- каналы COгорюч. не защищают от отравления</t>
  </si>
  <si>
    <t>- каналов &gt;16</t>
  </si>
  <si>
    <t>- каналов без дисплея &gt;2</t>
  </si>
  <si>
    <t>- порогов &gt;3</t>
  </si>
  <si>
    <t>- каналы CH4opt, NO2 или HCl в Хоббит-Т</t>
  </si>
  <si>
    <t>- код исполнения</t>
  </si>
  <si>
    <t>- код подключения блоков датчиков</t>
  </si>
  <si>
    <t>- код IP блоков датчиков</t>
  </si>
  <si>
    <t>- код IP блоков индикации</t>
  </si>
  <si>
    <t>- код наличия дисплея</t>
  </si>
  <si>
    <t>- код токового выхода</t>
  </si>
  <si>
    <t>- код напряжения питания</t>
  </si>
  <si>
    <t>- код общей взрывозащиты</t>
  </si>
  <si>
    <t>- наличие каналов токсичных газов в ОКА-</t>
  </si>
  <si>
    <t>- наличие каналов горючих газов в ОКА-</t>
  </si>
  <si>
    <t>- наличие каналов O2 в ОКА-</t>
  </si>
  <si>
    <t>- наличие каналов H2 в ОКА-</t>
  </si>
  <si>
    <t>- наличие каналов COгор. в ОКА-</t>
  </si>
  <si>
    <t>- наличие каналов CH4 в ОКА-</t>
  </si>
  <si>
    <t>- наличие каналов C3H8 в ОКА-</t>
  </si>
  <si>
    <t>- наличие каналов C6H14 в ОКА-</t>
  </si>
  <si>
    <t>- наличие каналов CHopt в ОКА-</t>
  </si>
  <si>
    <t>- наличие ещё 1 любого канала в ОКА- с каналом O2</t>
  </si>
  <si>
    <t>сообщение об ошибках ввода</t>
  </si>
  <si>
    <t>части кода г/а ОКА-</t>
  </si>
  <si>
    <t>части кода технических особенностей</t>
  </si>
  <si>
    <t>примечание к ошибке ввода</t>
  </si>
  <si>
    <t>адрес результата</t>
  </si>
  <si>
    <t>подсказки к сигналам ошибок</t>
  </si>
  <si>
    <t>- выбор типа г/а Хоббит-Т</t>
  </si>
  <si>
    <t>- выбор типа г/а ОКА-</t>
  </si>
  <si>
    <t>- объединение подсказок</t>
  </si>
  <si>
    <t>примечание к результату ввода</t>
  </si>
  <si>
    <t>- 'ошибка взрывозащиты</t>
  </si>
  <si>
    <t>сообщение о взрывозащите</t>
  </si>
  <si>
    <t>примечание к взрывозащите</t>
  </si>
  <si>
    <t>сообщение об отказе на запрос</t>
  </si>
  <si>
    <t>адрес сообщения об отказе</t>
  </si>
  <si>
    <t>причины отказов</t>
  </si>
  <si>
    <t>- неверный символ исполнения</t>
  </si>
  <si>
    <t>- взрывозащита водорода</t>
  </si>
  <si>
    <t>- взрывозащита гирлянды</t>
  </si>
  <si>
    <t>- взрывозащита КНС</t>
  </si>
  <si>
    <t>- взрывозащита без дисплея</t>
  </si>
  <si>
    <t>- число взр/защ &gt; числа каналов</t>
  </si>
  <si>
    <t>в кол-ве взр/защ</t>
  </si>
  <si>
    <t>- к подсчёту ошибок</t>
  </si>
  <si>
    <t>примечание к отказу на запрос</t>
  </si>
  <si>
    <t>подсказки к причинам отказа</t>
  </si>
  <si>
    <t>заголовок раздела "ЦЕНЫ"</t>
  </si>
  <si>
    <t>отображение ошибок в заголовке</t>
  </si>
  <si>
    <t>подсказки об ошибках</t>
  </si>
  <si>
    <t>- ошибка ввода каналов</t>
  </si>
  <si>
    <t>- ошибка ввода взрывозащиты</t>
  </si>
  <si>
    <t>формула заголовка</t>
  </si>
  <si>
    <t>- взрывозащита более 1 ТКС</t>
  </si>
  <si>
    <t>- взрывозащита более 1 электрохимического сенсора при 1 ТКС</t>
  </si>
  <si>
    <t>- взрывозащита оптических сенсоров при 1 ТКС</t>
  </si>
  <si>
    <t>- взрывозащита более 2 э/х сенсоров</t>
  </si>
  <si>
    <t>- длина линии связи</t>
  </si>
  <si>
    <t>- наличие канала O2 в ОКА-</t>
  </si>
  <si>
    <t>- наличие канала O2 в ОКАа</t>
  </si>
  <si>
    <t>- наличие канала H2 в ОКА-</t>
  </si>
  <si>
    <t>- наличие канала CH4 в ОКА-</t>
  </si>
  <si>
    <t>- наличие канала C3H8 в ОКА-</t>
  </si>
  <si>
    <t>- наличие канала C6H14 в ОКА-</t>
  </si>
  <si>
    <t>- наличие канала CHopt в ОКА-</t>
  </si>
  <si>
    <t>- каналов &gt;5</t>
  </si>
  <si>
    <t>- каналов взрывозащищённого &gt;4</t>
  </si>
  <si>
    <t>- каналы CHopt, NO2 или HCl в Хоббит-Т</t>
  </si>
  <si>
    <t>- ошибка взрывозащиты</t>
  </si>
  <si>
    <t>смысл сообщения</t>
  </si>
  <si>
    <t>смысл примечания</t>
  </si>
  <si>
    <t>(где-то ошибка в количестве взрывозащищённых)</t>
  </si>
  <si>
    <r>
      <t xml:space="preserve">(взрывозащита каналов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</si>
  <si>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r>
      <t xml:space="preserve">(взрывозащита при наличии канала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</si>
  <si>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t>библиотека сообщений для переносных г/а</t>
  </si>
  <si>
    <t>библиотека сообщений для стационарных г/а</t>
  </si>
  <si>
    <t>- код цифрового интерфейса</t>
  </si>
  <si>
    <t>-С111</t>
  </si>
  <si>
    <t>-С110</t>
  </si>
  <si>
    <t>- цифровой интерфейс отсутствует</t>
  </si>
  <si>
    <t>- токовый выход отсутствует</t>
  </si>
  <si>
    <t>- код общей взрывозащиты датчиков</t>
  </si>
  <si>
    <t>- код видов сигнализации (есть всё)</t>
  </si>
  <si>
    <t>- сигнализация по RS отсутствует</t>
  </si>
  <si>
    <r>
      <t xml:space="preserve">если нужен кабель связи длиной, не равной 6 м, поставьте         </t>
    </r>
    <r>
      <rPr>
        <sz val="8"/>
        <color indexed="49"/>
        <rFont val="Arial Cyr"/>
        <family val="0"/>
      </rPr>
      <t>в голубую ячейку</t>
    </r>
    <r>
      <rPr>
        <sz val="8"/>
        <color indexed="10"/>
        <rFont val="Arial Cyr"/>
        <family val="2"/>
      </rPr>
      <t xml:space="preserve"> требуемую длину численно в метрах</t>
    </r>
    <r>
      <rPr>
        <b/>
        <sz val="10"/>
        <rFont val="Arial Cyr"/>
        <family val="2"/>
      </rPr>
      <t xml:space="preserve">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</si>
  <si>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 xml:space="preserve"> – без цифрового интерфейса</t>
  </si>
  <si>
    <t>- с графическим дисплеем</t>
  </si>
  <si>
    <t xml:space="preserve"> – интерфейс RS232</t>
  </si>
  <si>
    <t xml:space="preserve"> – интерфейс RS485</t>
  </si>
  <si>
    <r>
      <t xml:space="preserve">если </t>
    </r>
    <r>
      <rPr>
        <b/>
        <sz val="8"/>
        <rFont val="Arial Cyr"/>
        <family val="0"/>
      </rPr>
      <t>требуется RS232</t>
    </r>
    <r>
      <rPr>
        <sz val="8"/>
        <color indexed="57"/>
        <rFont val="Arial Cyr"/>
        <family val="2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</si>
  <si>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Т0</t>
  </si>
  <si>
    <t>Т1</t>
  </si>
  <si>
    <t>Т2</t>
  </si>
  <si>
    <t>Ц1</t>
  </si>
  <si>
    <t>Ц2</t>
  </si>
  <si>
    <t>Ц0</t>
  </si>
  <si>
    <t>Цена дополн. кабеля</t>
  </si>
  <si>
    <t>руб</t>
  </si>
  <si>
    <t xml:space="preserve"> – код IP53 взрывозащищённых блоков датчиков</t>
  </si>
  <si>
    <t>(</t>
  </si>
  <si>
    <t>)</t>
  </si>
  <si>
    <t>Добавка за кабель больше 6м</t>
  </si>
  <si>
    <t>F</t>
  </si>
  <si>
    <t>CxHx, H2</t>
  </si>
  <si>
    <t>Индикатор</t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</si>
  <si>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</si>
  <si>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</si>
  <si>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14</t>
    </r>
  </si>
  <si>
    <r>
      <t>H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</si>
  <si>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opt</t>
    </r>
  </si>
  <si>
    <r>
      <t>Cl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</si>
  <si>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</si>
  <si>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</si>
  <si>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SO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</si>
  <si>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</si>
  <si>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</si>
  <si>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</si>
  <si>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</si>
  <si>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t>И13 
ВзА, ВзБ</t>
  </si>
  <si>
    <t>И11</t>
  </si>
  <si>
    <t>И22 (1-4 кан.)
И21 (1-16 кан.)</t>
  </si>
  <si>
    <t>И23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</si>
  <si>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</si>
  <si>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t>взрывозащита не предусмотрена</t>
  </si>
  <si>
    <r>
      <t xml:space="preserve">если </t>
    </r>
    <r>
      <rPr>
        <b/>
        <sz val="8"/>
        <rFont val="Arial Cyr"/>
        <family val="0"/>
      </rPr>
      <t>требуется токовый выход 4-20 мА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</si>
  <si>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Для данной модели анализатора обязательна пусконаладка на объекте Заказчика. Стоимость пусконаладочных работ- договорная.</t>
  </si>
  <si>
    <t>-/53</t>
  </si>
  <si>
    <t xml:space="preserve">И13 </t>
  </si>
  <si>
    <r>
      <t>F</t>
    </r>
    <r>
      <rPr>
        <b/>
        <vertAlign val="subscript"/>
        <sz val="10"/>
        <color indexed="62"/>
        <rFont val="Arial Cyr"/>
        <family val="2"/>
      </rPr>
      <t>2</t>
    </r>
  </si>
  <si>
    <t>ошибка</t>
  </si>
  <si>
    <t>-CO</t>
  </si>
  <si>
    <t>-CH4</t>
  </si>
  <si>
    <t>-C3H8</t>
  </si>
  <si>
    <t>-C6H14</t>
  </si>
  <si>
    <t>/Т</t>
  </si>
  <si>
    <t>:Т</t>
  </si>
  <si>
    <t>- КНС</t>
  </si>
  <si>
    <t>1.Наименование</t>
  </si>
  <si>
    <t>2.Перечень и количество каналов газов</t>
  </si>
  <si>
    <t>3.Исполнение</t>
  </si>
  <si>
    <t>4.Вариант защиты</t>
  </si>
  <si>
    <t>5. Выходной интерфейс</t>
  </si>
  <si>
    <t>6. Сигнализация</t>
  </si>
  <si>
    <t>7. Питание</t>
  </si>
  <si>
    <t>8. Взрывозащищённость</t>
  </si>
  <si>
    <t xml:space="preserve">1. Наименование: </t>
  </si>
  <si>
    <t>Пример: Хоббит-Т, ОКА-92МТ, ОКА-...</t>
  </si>
  <si>
    <t xml:space="preserve">2. Количество каналов измерения газа и его формула. </t>
  </si>
  <si>
    <t>О2, CH4, CO и т. п.</t>
  </si>
  <si>
    <t xml:space="preserve">Пример: -2О2-5CH4-9CO- (два датчика кислорода, пять датчиков метана, </t>
  </si>
  <si>
    <t>девять датчиков угарного газа).</t>
  </si>
  <si>
    <t>CO, H2S, SO2, Cl2, NH3, NO2, HCl, HF, CO2</t>
  </si>
  <si>
    <t>Пример: -O2/54-CH/53:Ex и т.п.</t>
  </si>
  <si>
    <t>3. Исполнение (И):</t>
  </si>
  <si>
    <t>И11 – переносные с выносным блоком датчика;</t>
  </si>
  <si>
    <t>И13 – персональные со встроенным блоком датчик;</t>
  </si>
  <si>
    <t>И21 – стационарные настенные газоанализаторы;</t>
  </si>
  <si>
    <t>И22 – стационарные малогабаритные газоанализаторы (DIN-рейка);</t>
  </si>
  <si>
    <t xml:space="preserve">И23 – стационарные газоанализаторы моноблочного исполнения; </t>
  </si>
  <si>
    <t>И2х(г) – то же, с возможностью соединения части (или всех) блоков датчиков по схеме "гирлянда". (последовательно один за одним)</t>
  </si>
  <si>
    <t xml:space="preserve">Пример: И21(г), И22(з) </t>
  </si>
  <si>
    <t xml:space="preserve">4. Меры защиты (без литеры): </t>
  </si>
  <si>
    <t xml:space="preserve">/Х/Y, где X – код IP Блока датчика, Y – код IP Блока индикации. </t>
  </si>
  <si>
    <t xml:space="preserve">Допускается после X и Y дополнительные меры защиты обозначать кратким примечанием: защита БД (в моноблоке – защита сенсоров) от конденсата может быть обозначена буквой :T после /X, взрывозащита некоторых БД – буквами :Ex после /X. </t>
  </si>
  <si>
    <t xml:space="preserve">5 Выходной интерфейс (Д-дисплей, Т-токовый выход, Ц- цифровой выход): </t>
  </si>
  <si>
    <t xml:space="preserve">Д0 – без дисплея, </t>
  </si>
  <si>
    <t>Д2 – с 4-строчным дисплеем; память показаний.</t>
  </si>
  <si>
    <t xml:space="preserve">Т0 – без токового выхода, </t>
  </si>
  <si>
    <t xml:space="preserve">Т1 – 0-5 мА, </t>
  </si>
  <si>
    <t xml:space="preserve">Т2 – 4-20 мА; </t>
  </si>
  <si>
    <t xml:space="preserve">Ц0 – без цифрового выхода, </t>
  </si>
  <si>
    <t xml:space="preserve">Ц1 - RS232, </t>
  </si>
  <si>
    <t>Ц2 — RS485 (возможно Modbus RTU)</t>
  </si>
  <si>
    <t xml:space="preserve">Ц3 – RS422, </t>
  </si>
  <si>
    <t xml:space="preserve">Ц4 – Bluetooth, </t>
  </si>
  <si>
    <t>Ц5 – USB.</t>
  </si>
  <si>
    <t xml:space="preserve">6 Сигнализация (С): </t>
  </si>
  <si>
    <t>С000 – сигнализации нет, С100 – звук, С010 – свет, С001 – цифровая.</t>
  </si>
  <si>
    <t>Варианты-примеры: C011, C110 и т.п.</t>
  </si>
  <si>
    <t xml:space="preserve">7 Питание (без литеры): </t>
  </si>
  <si>
    <t>~х; =х; - постоянный или переменный ток, где х – напряжение в вольтах.</t>
  </si>
  <si>
    <t>либо</t>
  </si>
  <si>
    <t xml:space="preserve">8 Взрывозащищённость: </t>
  </si>
  <si>
    <t>Примечание: если в газоанализаторе есть взрывозащищённые датчики и датчики без средств взрывозащиты, то обозначение Ex ставится после формул газов в позиции 2.</t>
  </si>
  <si>
    <t>Ах — Аккумулятор; Бх -питание от батареи, где х – напряжение в вольтах.</t>
  </si>
  <si>
    <t xml:space="preserve">Ex – средства взрывозащиты с маркировкой согласно сертификату взрывозащищённости. </t>
  </si>
  <si>
    <t>Система кодировки вариантов исполнения газоанализаторов</t>
  </si>
  <si>
    <t xml:space="preserve">Возможные газы (по сост.на 16.09.2019): O2, H2, CH4, C3H8, C6H14, CHоpt (оптич.сенсор), </t>
  </si>
  <si>
    <t>2.а. В случае особых мер защиты отдельных блоков датчиков (БД) – коды защиты прописываются после каждого БД (см. пп. 4 и 8).</t>
  </si>
  <si>
    <r>
      <rPr>
        <b/>
        <sz val="10"/>
        <rFont val="Arial Cyr"/>
        <family val="0"/>
      </rPr>
      <t>3.а</t>
    </r>
    <r>
      <rPr>
        <sz val="10"/>
        <rFont val="Arial Cyr"/>
        <family val="2"/>
      </rPr>
      <t xml:space="preserve"> И2х(з) – стационарный газоанализатор с возможностью соединять датчики по схеме "звезда" (каждый датчик соединяется с блоком индикации отдельным кабелем);</t>
    </r>
  </si>
  <si>
    <t>Примечание: на 16.09.2019 отличие газоанализаторов с «з» и «г» только в отсутствии/наличии монтажных коробок (МКБ). Количество выходов на датчики из блока индикации совпадает с количеством датчиков.</t>
  </si>
  <si>
    <t>В исполнении И13 скобки и символ отсутствует</t>
  </si>
  <si>
    <t>В исполнении И23(х); х- всегда буква «с»-системное исполнение. Пример: И23(с)</t>
  </si>
  <si>
    <t>В исполнении И11(х); х- длина кабеля в метрах (возможно 1...30м), по умолчанию -6м. Пример: И11(6), И11(10)</t>
  </si>
  <si>
    <r>
      <t>Примечание: знак</t>
    </r>
    <r>
      <rPr>
        <sz val="10"/>
        <rFont val="Arial Cyr"/>
        <family val="2"/>
      </rPr>
      <t xml:space="preserve"> "/" можно считать сокращением слова «IP»</t>
    </r>
  </si>
  <si>
    <t>Пример: -/54/50, -/65/50</t>
  </si>
  <si>
    <r>
      <rPr>
        <b/>
        <sz val="10"/>
        <rFont val="Arial Cyr"/>
        <family val="0"/>
      </rPr>
      <t>4.а</t>
    </r>
    <r>
      <rPr>
        <sz val="10"/>
        <rFont val="Arial Cyr"/>
        <family val="2"/>
      </rPr>
      <t xml:space="preserve"> /* вместо /X ставится, если коды IP указаны у обозначений БД.</t>
    </r>
  </si>
  <si>
    <t>с батареей - 5500 ч работы (временно не производим)</t>
  </si>
  <si>
    <t>Маркировка газоанализаторов «по-умолчанию» на 22.10.2019</t>
  </si>
  <si>
    <t>Стационарные 1-4 канала с цифровой индикацией И22Д2:</t>
  </si>
  <si>
    <t>Хоббит-Т-«формула газа»-И22(з)-/54/50-Д2Т1Ц2-С111-~220</t>
  </si>
  <si>
    <t>Наценка на IP65</t>
  </si>
  <si>
    <t xml:space="preserve"> – код IP65 всех блоков датчиков</t>
  </si>
  <si>
    <t>-/54</t>
  </si>
  <si>
    <t>-/65</t>
  </si>
  <si>
    <r>
      <t xml:space="preserve">при соединении некоторых датчиков </t>
    </r>
    <r>
      <rPr>
        <sz val="8"/>
        <color indexed="10"/>
        <rFont val="Arial Cyr"/>
        <family val="0"/>
      </rPr>
      <t>гирляндой</t>
    </r>
    <r>
      <rPr>
        <sz val="8"/>
        <color indexed="12"/>
        <rFont val="Arial CYR"/>
        <family val="2"/>
      </rPr>
      <t xml:space="preserve"> поставьте в голубую ячейку     цифру </t>
    </r>
    <r>
      <rPr>
        <b/>
        <sz val="8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</si>
  <si>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r>
      <t xml:space="preserve">если нужна </t>
    </r>
    <r>
      <rPr>
        <sz val="8"/>
        <color indexed="10"/>
        <rFont val="Arial Cyr"/>
        <family val="0"/>
      </rPr>
      <t xml:space="preserve">взрывозащита </t>
    </r>
    <r>
      <rPr>
        <b/>
        <sz val="8"/>
        <color indexed="10"/>
        <rFont val="Arial Cyr"/>
        <family val="0"/>
      </rPr>
      <t>всех</t>
    </r>
    <r>
      <rPr>
        <sz val="8"/>
        <color indexed="10"/>
        <rFont val="Arial Cyr"/>
        <family val="0"/>
      </rPr>
      <t xml:space="preserve"> каналов</t>
    </r>
    <r>
      <rPr>
        <sz val="8"/>
        <color indexed="14"/>
        <rFont val="Arial Cyr"/>
        <family val="2"/>
      </rPr>
      <t xml:space="preserve">, поставьте в розовую ячейку цифру </t>
    </r>
    <r>
      <rPr>
        <b/>
        <sz val="8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</si>
  <si>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r>
      <t xml:space="preserve">укажите в желтой ячейке факт. </t>
    </r>
    <r>
      <rPr>
        <sz val="8"/>
        <color indexed="10"/>
        <rFont val="Arial Cyr"/>
        <family val="0"/>
      </rPr>
      <t>кол-во</t>
    </r>
    <r>
      <rPr>
        <sz val="8"/>
        <rFont val="Arial Cyr"/>
        <family val="2"/>
      </rPr>
      <t xml:space="preserve"> блоков реле </t>
    </r>
    <r>
      <rPr>
        <sz val="8"/>
        <color indexed="10"/>
        <rFont val="Arial Cyr"/>
        <family val="0"/>
      </rPr>
      <t>БР10</t>
    </r>
    <r>
      <rPr>
        <sz val="8"/>
        <rFont val="Arial Cyr"/>
        <family val="2"/>
      </rPr>
      <t xml:space="preserve">: </t>
    </r>
  </si>
  <si>
    <r>
      <t xml:space="preserve">(взрывозащита датчиков с IP65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предусмотрена)</t>
    </r>
  </si>
  <si>
    <t xml:space="preserve"> число взр/защ указано неверно</t>
  </si>
  <si>
    <t xml:space="preserve"> -IP_65 и взрыв</t>
  </si>
  <si>
    <t>Взаимодействия КНС/IP65/гирлянда</t>
  </si>
  <si>
    <t>1. Гирлянда =330руб</t>
  </si>
  <si>
    <t>2. IP65 = Гирлянда + 270руб</t>
  </si>
  <si>
    <t>3. КНС = IP65 + 1100руб</t>
  </si>
  <si>
    <t>Гирлянда</t>
  </si>
  <si>
    <t>Описание</t>
  </si>
  <si>
    <t xml:space="preserve"> IP65</t>
  </si>
  <si>
    <t>КНС</t>
  </si>
  <si>
    <r>
      <t>для исполнения датчиков с защитой</t>
    </r>
    <r>
      <rPr>
        <sz val="8"/>
        <color indexed="10"/>
        <rFont val="Arial Cyr"/>
        <family val="0"/>
      </rPr>
      <t xml:space="preserve"> IP65 + гирлянда</t>
    </r>
    <r>
      <rPr>
        <sz val="8"/>
        <color indexed="53"/>
        <rFont val="Arial Cyr"/>
        <family val="2"/>
      </rPr>
      <t xml:space="preserve"> поставьте в рыжую ячейку цифру </t>
    </r>
    <r>
      <rPr>
        <b/>
        <sz val="8"/>
        <color indexed="53"/>
        <rFont val="Arial Cyr"/>
        <family val="2"/>
      </rPr>
      <t xml:space="preserve">1 </t>
    </r>
    <r>
      <rPr>
        <b/>
        <sz val="8"/>
        <color indexed="53"/>
        <rFont val="Symbol"/>
        <family val="1"/>
      </rPr>
      <t xml:space="preserve">® </t>
    </r>
  </si>
  <si>
    <r>
      <t xml:space="preserve">для исполнения датчиков, устойчивых к влаге и агрессивной среде (для </t>
    </r>
    <r>
      <rPr>
        <sz val="8"/>
        <color indexed="10"/>
        <rFont val="Arial Cyr"/>
        <family val="0"/>
      </rPr>
      <t>КНС/мороз + гирлянда</t>
    </r>
    <r>
      <rPr>
        <sz val="8"/>
        <color indexed="62"/>
        <rFont val="Arial Cyr"/>
        <family val="2"/>
      </rPr>
      <t xml:space="preserve">) поставьте в фиолетовую ячейку цифру </t>
    </r>
    <r>
      <rPr>
        <b/>
        <sz val="8"/>
        <color indexed="62"/>
        <rFont val="Arial Cyr"/>
        <family val="2"/>
      </rPr>
      <t xml:space="preserve">1 </t>
    </r>
    <r>
      <rPr>
        <b/>
        <sz val="8"/>
        <color indexed="62"/>
        <rFont val="Symbol"/>
        <family val="1"/>
      </rPr>
      <t xml:space="preserve">® </t>
    </r>
  </si>
  <si>
    <t xml:space="preserve">тел./факс (812) 336-42-06, 552-29-42, 591-67-05. </t>
  </si>
  <si>
    <t>Зарядное устройство БПУ-6  (PC4)</t>
  </si>
  <si>
    <t>Зарядное устройство БПУ-7  (DB-9)</t>
  </si>
  <si>
    <t>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</si>
</sst>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mm/yy"/>
    <numFmt numFmtId="174" formatCode="mm/dd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3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b/>
      <sz val="8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b/>
      <sz val="8"/>
      <color indexed="25"/>
      <name val="Symbol"/>
      <family val="1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57"/>
      <name val="Arial Cyr"/>
      <family val="0"/>
    </font>
    <font>
      <b/>
      <sz val="8"/>
      <color indexed="57"/>
      <name val="Symbol"/>
      <family val="1"/>
    </font>
    <font>
      <strike/>
      <sz val="10"/>
      <color indexed="12"/>
      <name val="Arial Cyr"/>
      <family val="2"/>
    </font>
    <font>
      <b/>
      <sz val="8"/>
      <color indexed="14"/>
      <name val="Arial Cyr"/>
      <family val="2"/>
    </font>
    <font>
      <b/>
      <sz val="8"/>
      <color indexed="12"/>
      <name val="Arial Cyr"/>
      <family val="2"/>
    </font>
    <font>
      <b/>
      <sz val="8"/>
      <color indexed="57"/>
      <name val="Arial Cyr"/>
      <family val="2"/>
    </font>
    <font>
      <sz val="7"/>
      <name val="Symbol"/>
      <family val="1"/>
    </font>
    <font>
      <sz val="7"/>
      <name val="Arial Cyr"/>
      <family val="2"/>
    </font>
    <font>
      <strike/>
      <sz val="7"/>
      <name val="Symbol"/>
      <family val="1"/>
    </font>
    <font>
      <sz val="8"/>
      <color indexed="49"/>
      <name val="Arial Cyr"/>
      <family val="0"/>
    </font>
    <font>
      <sz val="9"/>
      <color indexed="9"/>
      <name val="Arial Cyr"/>
      <family val="2"/>
    </font>
    <font>
      <sz val="14"/>
      <color indexed="49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48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b/>
      <sz val="12"/>
      <color indexed="62"/>
      <name val="Arial Cyr"/>
      <family val="0"/>
    </font>
    <font>
      <sz val="48"/>
      <name val="Arial Cyr"/>
      <family val="2"/>
    </font>
    <font>
      <sz val="36"/>
      <name val="Arial Cyr"/>
      <family val="2"/>
    </font>
    <font>
      <b/>
      <sz val="28"/>
      <name val="Arial Cyr"/>
      <family val="0"/>
    </font>
    <font>
      <b/>
      <sz val="8"/>
      <color indexed="62"/>
      <name val="Arial Cyr"/>
      <family val="2"/>
    </font>
    <font>
      <b/>
      <sz val="8"/>
      <color indexed="62"/>
      <name val="Symbol"/>
      <family val="1"/>
    </font>
    <font>
      <b/>
      <sz val="12"/>
      <name val="Arial Cyr"/>
      <family val="0"/>
    </font>
    <font>
      <sz val="8"/>
      <color indexed="62"/>
      <name val="Arial Cyr"/>
      <family val="2"/>
    </font>
    <font>
      <sz val="8"/>
      <color indexed="53"/>
      <name val="Arial Cyr"/>
      <family val="2"/>
    </font>
    <font>
      <b/>
      <sz val="8"/>
      <color indexed="53"/>
      <name val="Arial Cyr"/>
      <family val="2"/>
    </font>
    <font>
      <b/>
      <sz val="8"/>
      <color indexed="53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Arial Cyr"/>
      <family val="2"/>
    </font>
    <font>
      <b/>
      <sz val="8"/>
      <color theme="1"/>
      <name val="Arial Cyr"/>
      <family val="2"/>
    </font>
    <font>
      <b/>
      <sz val="10"/>
      <color theme="1"/>
      <name val="Arial Cyr"/>
      <family val="2"/>
    </font>
    <font>
      <sz val="9"/>
      <color theme="1"/>
      <name val="Arial Cyr"/>
      <family val="2"/>
    </font>
    <font>
      <sz val="8"/>
      <color theme="0"/>
      <name val="Arial Cyr"/>
      <family val="2"/>
    </font>
    <font>
      <sz val="10"/>
      <color theme="0"/>
      <name val="Arial Cyr"/>
      <family val="2"/>
    </font>
    <font>
      <b/>
      <sz val="10"/>
      <color theme="0"/>
      <name val="Arial Cyr"/>
      <family val="2"/>
    </font>
    <font>
      <sz val="8"/>
      <color theme="9"/>
      <name val="Arial Cyr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26"/>
        <bgColor indexed="9"/>
      </patternFill>
    </fill>
    <fill>
      <patternFill patternType="gray0625">
        <fgColor indexed="26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thick"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/>
      <right style="medium">
        <color indexed="8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15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63"/>
      </right>
      <top/>
      <bottom/>
    </border>
    <border>
      <left style="thin">
        <color indexed="8"/>
      </left>
      <right style="medium">
        <color indexed="63"/>
      </right>
      <top/>
      <bottom style="thin">
        <color indexed="8"/>
      </bottom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medium">
        <color indexed="8"/>
      </right>
      <top/>
      <bottom style="thin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 style="medium">
        <color indexed="63"/>
      </bottom>
    </border>
    <border>
      <left/>
      <right style="medium"/>
      <top style="medium">
        <color indexed="63"/>
      </top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 style="medium"/>
      <right/>
      <top style="medium"/>
      <bottom style="medium">
        <color indexed="63"/>
      </bottom>
    </border>
    <border>
      <left/>
      <right style="medium"/>
      <top style="medium"/>
      <bottom style="medium">
        <color indexed="63"/>
      </bottom>
    </border>
    <border>
      <left/>
      <right/>
      <top style="medium"/>
      <bottom/>
    </border>
    <border>
      <left/>
      <right/>
      <top style="medium"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>
        <color indexed="63"/>
      </right>
      <top/>
      <bottom style="medium"/>
    </border>
    <border>
      <left style="medium">
        <color indexed="63"/>
      </left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medium">
        <color indexed="8"/>
      </right>
      <top/>
      <bottom style="medium"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/>
      <bottom style="medium"/>
    </border>
    <border>
      <left style="medium"/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/>
      <right style="thin"/>
      <top/>
      <bottom/>
    </border>
    <border>
      <left style="medium">
        <color indexed="63"/>
      </left>
      <right style="thin"/>
      <top/>
      <bottom/>
    </border>
    <border>
      <left style="medium"/>
      <right style="thin"/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>
        <color indexed="63"/>
      </top>
      <bottom style="medium">
        <color indexed="63"/>
      </bottom>
    </border>
    <border>
      <left/>
      <right style="thin"/>
      <top>
        <color indexed="63"/>
      </top>
      <bottom style="medium">
        <color indexed="63"/>
      </bottom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7" fillId="2" borderId="0" applyNumberFormat="0" applyBorder="0" applyAlignment="0" applyProtection="0"/>
    <xf numFmtId="0" fontId="157" fillId="3" borderId="0" applyNumberFormat="0" applyBorder="0" applyAlignment="0" applyProtection="0"/>
    <xf numFmtId="0" fontId="157" fillId="4" borderId="0" applyNumberFormat="0" applyBorder="0" applyAlignment="0" applyProtection="0"/>
    <xf numFmtId="0" fontId="157" fillId="5" borderId="0" applyNumberFormat="0" applyBorder="0" applyAlignment="0" applyProtection="0"/>
    <xf numFmtId="0" fontId="157" fillId="6" borderId="0" applyNumberFormat="0" applyBorder="0" applyAlignment="0" applyProtection="0"/>
    <xf numFmtId="0" fontId="157" fillId="7" borderId="0" applyNumberFormat="0" applyBorder="0" applyAlignment="0" applyProtection="0"/>
    <xf numFmtId="0" fontId="157" fillId="8" borderId="0" applyNumberFormat="0" applyBorder="0" applyAlignment="0" applyProtection="0"/>
    <xf numFmtId="0" fontId="157" fillId="9" borderId="0" applyNumberFormat="0" applyBorder="0" applyAlignment="0" applyProtection="0"/>
    <xf numFmtId="0" fontId="157" fillId="10" borderId="0" applyNumberFormat="0" applyBorder="0" applyAlignment="0" applyProtection="0"/>
    <xf numFmtId="0" fontId="157" fillId="11" borderId="0" applyNumberFormat="0" applyBorder="0" applyAlignment="0" applyProtection="0"/>
    <xf numFmtId="0" fontId="157" fillId="12" borderId="0" applyNumberFormat="0" applyBorder="0" applyAlignment="0" applyProtection="0"/>
    <xf numFmtId="0" fontId="157" fillId="13" borderId="0" applyNumberFormat="0" applyBorder="0" applyAlignment="0" applyProtection="0"/>
    <xf numFmtId="0" fontId="158" fillId="14" borderId="0" applyNumberFormat="0" applyBorder="0" applyAlignment="0" applyProtection="0"/>
    <xf numFmtId="0" fontId="158" fillId="15" borderId="0" applyNumberFormat="0" applyBorder="0" applyAlignment="0" applyProtection="0"/>
    <xf numFmtId="0" fontId="158" fillId="16" borderId="0" applyNumberFormat="0" applyBorder="0" applyAlignment="0" applyProtection="0"/>
    <xf numFmtId="0" fontId="158" fillId="17" borderId="0" applyNumberFormat="0" applyBorder="0" applyAlignment="0" applyProtection="0"/>
    <xf numFmtId="0" fontId="158" fillId="18" borderId="0" applyNumberFormat="0" applyBorder="0" applyAlignment="0" applyProtection="0"/>
    <xf numFmtId="0" fontId="158" fillId="19" borderId="0" applyNumberFormat="0" applyBorder="0" applyAlignment="0" applyProtection="0"/>
    <xf numFmtId="0" fontId="158" fillId="20" borderId="0" applyNumberFormat="0" applyBorder="0" applyAlignment="0" applyProtection="0"/>
    <xf numFmtId="0" fontId="158" fillId="21" borderId="0" applyNumberFormat="0" applyBorder="0" applyAlignment="0" applyProtection="0"/>
    <xf numFmtId="0" fontId="158" fillId="22" borderId="0" applyNumberFormat="0" applyBorder="0" applyAlignment="0" applyProtection="0"/>
    <xf numFmtId="0" fontId="158" fillId="23" borderId="0" applyNumberFormat="0" applyBorder="0" applyAlignment="0" applyProtection="0"/>
    <xf numFmtId="0" fontId="158" fillId="24" borderId="0" applyNumberFormat="0" applyBorder="0" applyAlignment="0" applyProtection="0"/>
    <xf numFmtId="0" fontId="158" fillId="25" borderId="0" applyNumberFormat="0" applyBorder="0" applyAlignment="0" applyProtection="0"/>
    <xf numFmtId="0" fontId="159" fillId="26" borderId="1" applyNumberFormat="0" applyAlignment="0" applyProtection="0"/>
    <xf numFmtId="0" fontId="160" fillId="27" borderId="2" applyNumberFormat="0" applyAlignment="0" applyProtection="0"/>
    <xf numFmtId="0" fontId="1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6" applyNumberFormat="0" applyFill="0" applyAlignment="0" applyProtection="0"/>
    <xf numFmtId="0" fontId="166" fillId="28" borderId="7" applyNumberFormat="0" applyAlignment="0" applyProtection="0"/>
    <xf numFmtId="0" fontId="167" fillId="0" borderId="0" applyNumberFormat="0" applyFill="0" applyBorder="0" applyAlignment="0" applyProtection="0"/>
    <xf numFmtId="0" fontId="168" fillId="29" borderId="0" applyNumberFormat="0" applyBorder="0" applyAlignment="0" applyProtection="0"/>
    <xf numFmtId="0" fontId="169" fillId="0" borderId="0" applyNumberFormat="0" applyFill="0" applyBorder="0" applyAlignment="0" applyProtection="0"/>
    <xf numFmtId="0" fontId="170" fillId="30" borderId="0" applyNumberFormat="0" applyBorder="0" applyAlignment="0" applyProtection="0"/>
    <xf numFmtId="0" fontId="1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4" fillId="32" borderId="0" applyNumberFormat="0" applyBorder="0" applyAlignment="0" applyProtection="0"/>
  </cellStyleXfs>
  <cellXfs count="10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16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5" fillId="0" borderId="14" xfId="42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15" fillId="35" borderId="15" xfId="42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6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25" fillId="36" borderId="14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15" fillId="34" borderId="15" xfId="42" applyNumberFormat="1" applyFont="1" applyFill="1" applyBorder="1" applyAlignment="1" applyProtection="1">
      <alignment vertical="center" wrapText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vertical="center" wrapText="1"/>
    </xf>
    <xf numFmtId="0" fontId="11" fillId="37" borderId="15" xfId="0" applyFont="1" applyFill="1" applyBorder="1" applyAlignment="1">
      <alignment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28" fillId="37" borderId="12" xfId="0" applyNumberFormat="1" applyFont="1" applyFill="1" applyBorder="1" applyAlignment="1">
      <alignment vertical="center"/>
    </xf>
    <xf numFmtId="0" fontId="15" fillId="37" borderId="15" xfId="42" applyNumberFormat="1" applyFont="1" applyFill="1" applyBorder="1" applyAlignment="1" applyProtection="1">
      <alignment vertical="center" wrapText="1"/>
      <protection/>
    </xf>
    <xf numFmtId="49" fontId="3" fillId="37" borderId="15" xfId="0" applyNumberFormat="1" applyFont="1" applyFill="1" applyBorder="1" applyAlignment="1">
      <alignment horizontal="center" vertical="center" wrapText="1"/>
    </xf>
    <xf numFmtId="49" fontId="27" fillId="37" borderId="15" xfId="0" applyNumberFormat="1" applyFont="1" applyFill="1" applyBorder="1" applyAlignment="1">
      <alignment horizontal="center" vertical="center" wrapText="1"/>
    </xf>
    <xf numFmtId="0" fontId="28" fillId="38" borderId="12" xfId="0" applyNumberFormat="1" applyFont="1" applyFill="1" applyBorder="1" applyAlignment="1">
      <alignment vertical="center"/>
    </xf>
    <xf numFmtId="0" fontId="15" fillId="38" borderId="15" xfId="42" applyNumberFormat="1" applyFont="1" applyFill="1" applyBorder="1" applyAlignment="1" applyProtection="1">
      <alignment vertical="center" wrapText="1"/>
      <protection/>
    </xf>
    <xf numFmtId="49" fontId="3" fillId="38" borderId="15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49" fontId="27" fillId="38" borderId="15" xfId="0" applyNumberFormat="1" applyFont="1" applyFill="1" applyBorder="1" applyAlignment="1">
      <alignment horizontal="center" vertical="center" wrapText="1"/>
    </xf>
    <xf numFmtId="0" fontId="15" fillId="0" borderId="18" xfId="42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2" fillId="39" borderId="10" xfId="0" applyFont="1" applyFill="1" applyBorder="1" applyAlignment="1">
      <alignment vertical="center"/>
    </xf>
    <xf numFmtId="0" fontId="43" fillId="39" borderId="22" xfId="0" applyFont="1" applyFill="1" applyBorder="1" applyAlignment="1">
      <alignment horizontal="right" vertical="center"/>
    </xf>
    <xf numFmtId="0" fontId="44" fillId="40" borderId="0" xfId="0" applyFont="1" applyFill="1" applyBorder="1" applyAlignment="1">
      <alignment horizontal="center" vertical="center" wrapText="1"/>
    </xf>
    <xf numFmtId="0" fontId="43" fillId="39" borderId="22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right" vertical="center"/>
    </xf>
    <xf numFmtId="0" fontId="36" fillId="38" borderId="22" xfId="0" applyFont="1" applyFill="1" applyBorder="1" applyAlignment="1">
      <alignment vertical="center"/>
    </xf>
    <xf numFmtId="0" fontId="36" fillId="38" borderId="15" xfId="0" applyFont="1" applyFill="1" applyBorder="1" applyAlignment="1">
      <alignment vertical="center"/>
    </xf>
    <xf numFmtId="0" fontId="45" fillId="3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0" xfId="0" applyFill="1" applyAlignment="1">
      <alignment horizontal="left"/>
    </xf>
    <xf numFmtId="0" fontId="0" fillId="34" borderId="26" xfId="0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0" xfId="0" applyFill="1" applyBorder="1" applyAlignment="1">
      <alignment/>
    </xf>
    <xf numFmtId="0" fontId="50" fillId="41" borderId="28" xfId="0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50" fillId="41" borderId="18" xfId="0" applyFont="1" applyFill="1" applyBorder="1" applyAlignment="1">
      <alignment horizontal="right" vertical="center"/>
    </xf>
    <xf numFmtId="0" fontId="50" fillId="41" borderId="30" xfId="0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9" fillId="38" borderId="1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50" fillId="41" borderId="32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right"/>
    </xf>
    <xf numFmtId="0" fontId="39" fillId="4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39" fillId="42" borderId="1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9" fillId="42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vertical="center"/>
    </xf>
    <xf numFmtId="0" fontId="6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3" fillId="39" borderId="15" xfId="0" applyFont="1" applyFill="1" applyBorder="1" applyAlignment="1">
      <alignment horizontal="left"/>
    </xf>
    <xf numFmtId="0" fontId="46" fillId="37" borderId="35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6" fillId="37" borderId="16" xfId="0" applyFont="1" applyFill="1" applyBorder="1" applyAlignment="1">
      <alignment/>
    </xf>
    <xf numFmtId="0" fontId="50" fillId="41" borderId="36" xfId="0" applyFont="1" applyFill="1" applyBorder="1" applyAlignment="1">
      <alignment horizontal="right"/>
    </xf>
    <xf numFmtId="0" fontId="49" fillId="34" borderId="33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38" borderId="37" xfId="0" applyFill="1" applyBorder="1" applyAlignment="1">
      <alignment/>
    </xf>
    <xf numFmtId="0" fontId="57" fillId="37" borderId="16" xfId="0" applyFont="1" applyFill="1" applyBorder="1" applyAlignment="1">
      <alignment horizontal="center" vertical="top"/>
    </xf>
    <xf numFmtId="0" fontId="57" fillId="37" borderId="38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right" vertical="center"/>
    </xf>
    <xf numFmtId="0" fontId="44" fillId="37" borderId="0" xfId="0" applyFont="1" applyFill="1" applyBorder="1" applyAlignment="1">
      <alignment/>
    </xf>
    <xf numFmtId="0" fontId="50" fillId="41" borderId="40" xfId="0" applyFont="1" applyFill="1" applyBorder="1" applyAlignment="1">
      <alignment horizontal="right" vertical="center"/>
    </xf>
    <xf numFmtId="49" fontId="70" fillId="37" borderId="0" xfId="0" applyNumberFormat="1" applyFont="1" applyFill="1" applyBorder="1" applyAlignment="1">
      <alignment horizontal="center" wrapText="1"/>
    </xf>
    <xf numFmtId="0" fontId="71" fillId="37" borderId="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left" vertical="center"/>
    </xf>
    <xf numFmtId="0" fontId="73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9" fillId="34" borderId="4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36" fillId="33" borderId="0" xfId="0" applyFont="1" applyFill="1" applyAlignment="1">
      <alignment horizontal="right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69" fillId="39" borderId="45" xfId="0" applyFont="1" applyFill="1" applyBorder="1" applyAlignment="1">
      <alignment/>
    </xf>
    <xf numFmtId="0" fontId="43" fillId="39" borderId="4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46" fillId="37" borderId="47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/>
    </xf>
    <xf numFmtId="0" fontId="50" fillId="41" borderId="49" xfId="0" applyFont="1" applyFill="1" applyBorder="1" applyAlignment="1">
      <alignment horizontal="right"/>
    </xf>
    <xf numFmtId="0" fontId="49" fillId="34" borderId="50" xfId="0" applyFont="1" applyFill="1" applyBorder="1" applyAlignment="1">
      <alignment horizontal="center" vertical="center"/>
    </xf>
    <xf numFmtId="0" fontId="49" fillId="34" borderId="51" xfId="0" applyFont="1" applyFill="1" applyBorder="1" applyAlignment="1">
      <alignment horizontal="center" vertical="center"/>
    </xf>
    <xf numFmtId="0" fontId="44" fillId="37" borderId="27" xfId="0" applyFont="1" applyFill="1" applyBorder="1" applyAlignment="1">
      <alignment/>
    </xf>
    <xf numFmtId="49" fontId="70" fillId="37" borderId="27" xfId="0" applyNumberFormat="1" applyFont="1" applyFill="1" applyBorder="1" applyAlignment="1">
      <alignment horizontal="center" wrapText="1"/>
    </xf>
    <xf numFmtId="0" fontId="50" fillId="41" borderId="52" xfId="0" applyFont="1" applyFill="1" applyBorder="1" applyAlignment="1">
      <alignment horizontal="right" vertical="center"/>
    </xf>
    <xf numFmtId="0" fontId="49" fillId="34" borderId="53" xfId="0" applyFont="1" applyFill="1" applyBorder="1" applyAlignment="1">
      <alignment horizontal="center" vertical="center"/>
    </xf>
    <xf numFmtId="0" fontId="43" fillId="39" borderId="24" xfId="0" applyFont="1" applyFill="1" applyBorder="1" applyAlignment="1">
      <alignment horizontal="right"/>
    </xf>
    <xf numFmtId="0" fontId="43" fillId="39" borderId="24" xfId="0" applyFont="1" applyFill="1" applyBorder="1" applyAlignment="1">
      <alignment horizontal="left"/>
    </xf>
    <xf numFmtId="0" fontId="43" fillId="39" borderId="25" xfId="0" applyFont="1" applyFill="1" applyBorder="1" applyAlignment="1">
      <alignment horizontal="left"/>
    </xf>
    <xf numFmtId="0" fontId="0" fillId="37" borderId="0" xfId="0" applyFill="1" applyAlignment="1">
      <alignment vertical="center"/>
    </xf>
    <xf numFmtId="0" fontId="46" fillId="37" borderId="54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 wrapText="1"/>
    </xf>
    <xf numFmtId="0" fontId="57" fillId="37" borderId="0" xfId="0" applyFont="1" applyFill="1" applyAlignment="1">
      <alignment horizontal="right"/>
    </xf>
    <xf numFmtId="0" fontId="57" fillId="37" borderId="0" xfId="0" applyFont="1" applyFill="1" applyAlignment="1">
      <alignment/>
    </xf>
    <xf numFmtId="0" fontId="50" fillId="41" borderId="55" xfId="0" applyFont="1" applyFill="1" applyBorder="1" applyAlignment="1">
      <alignment horizontal="right" vertical="center"/>
    </xf>
    <xf numFmtId="172" fontId="0" fillId="0" borderId="16" xfId="0" applyNumberFormat="1" applyBorder="1" applyAlignment="1">
      <alignment vertical="center"/>
    </xf>
    <xf numFmtId="0" fontId="50" fillId="41" borderId="56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1" xfId="0" applyFont="1" applyBorder="1" applyAlignment="1">
      <alignment/>
    </xf>
    <xf numFmtId="0" fontId="52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76" fillId="0" borderId="45" xfId="0" applyFont="1" applyFill="1" applyBorder="1" applyAlignment="1">
      <alignment/>
    </xf>
    <xf numFmtId="0" fontId="78" fillId="0" borderId="31" xfId="0" applyFont="1" applyBorder="1" applyAlignment="1">
      <alignment/>
    </xf>
    <xf numFmtId="0" fontId="79" fillId="0" borderId="31" xfId="0" applyFont="1" applyBorder="1" applyAlignment="1">
      <alignment/>
    </xf>
    <xf numFmtId="0" fontId="80" fillId="33" borderId="33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6" fillId="0" borderId="59" xfId="0" applyFont="1" applyFill="1" applyBorder="1" applyAlignment="1">
      <alignment/>
    </xf>
    <xf numFmtId="0" fontId="78" fillId="0" borderId="60" xfId="0" applyFont="1" applyBorder="1" applyAlignment="1">
      <alignment/>
    </xf>
    <xf numFmtId="0" fontId="79" fillId="0" borderId="60" xfId="0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82" fillId="33" borderId="31" xfId="0" applyFont="1" applyFill="1" applyBorder="1" applyAlignment="1">
      <alignment vertical="center" wrapText="1"/>
    </xf>
    <xf numFmtId="0" fontId="80" fillId="33" borderId="31" xfId="0" applyFont="1" applyFill="1" applyBorder="1" applyAlignment="1">
      <alignment vertical="center" wrapText="1"/>
    </xf>
    <xf numFmtId="0" fontId="82" fillId="33" borderId="33" xfId="0" applyFont="1" applyFill="1" applyBorder="1" applyAlignment="1">
      <alignment vertical="center" wrapText="1"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83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38" fillId="0" borderId="16" xfId="0" applyFont="1" applyBorder="1" applyAlignment="1">
      <alignment horizontal="center"/>
    </xf>
    <xf numFmtId="0" fontId="82" fillId="33" borderId="60" xfId="0" applyFont="1" applyFill="1" applyBorder="1" applyAlignment="1">
      <alignment vertical="center" wrapText="1"/>
    </xf>
    <xf numFmtId="0" fontId="80" fillId="33" borderId="6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3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84" fillId="33" borderId="33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3" fillId="33" borderId="60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vertical="center" wrapText="1"/>
    </xf>
    <xf numFmtId="0" fontId="38" fillId="0" borderId="59" xfId="0" applyFont="1" applyBorder="1" applyAlignment="1">
      <alignment horizontal="center" vertical="center"/>
    </xf>
    <xf numFmtId="0" fontId="84" fillId="33" borderId="6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34" borderId="61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/>
    </xf>
    <xf numFmtId="0" fontId="78" fillId="33" borderId="62" xfId="0" applyFont="1" applyFill="1" applyBorder="1" applyAlignment="1">
      <alignment horizontal="center" vertical="center" wrapText="1"/>
    </xf>
    <xf numFmtId="0" fontId="36" fillId="0" borderId="57" xfId="0" applyFont="1" applyBorder="1" applyAlignment="1">
      <alignment/>
    </xf>
    <xf numFmtId="0" fontId="80" fillId="33" borderId="63" xfId="0" applyFont="1" applyFill="1" applyBorder="1" applyAlignment="1">
      <alignment vertical="center" wrapText="1"/>
    </xf>
    <xf numFmtId="0" fontId="38" fillId="0" borderId="45" xfId="0" applyFont="1" applyBorder="1" applyAlignment="1">
      <alignment horizontal="center" vertical="center"/>
    </xf>
    <xf numFmtId="0" fontId="80" fillId="33" borderId="64" xfId="0" applyFont="1" applyFill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8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2" fillId="33" borderId="59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0" fontId="0" fillId="38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36" fillId="0" borderId="57" xfId="0" applyFont="1" applyBorder="1" applyAlignment="1">
      <alignment horizontal="right" vertical="center"/>
    </xf>
    <xf numFmtId="0" fontId="0" fillId="0" borderId="58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6" fillId="0" borderId="58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6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0" fillId="44" borderId="6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14" fontId="74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6" fillId="0" borderId="68" xfId="0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6" fillId="0" borderId="69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/>
    </xf>
    <xf numFmtId="0" fontId="0" fillId="33" borderId="4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6" fillId="0" borderId="70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vertical="top"/>
    </xf>
    <xf numFmtId="0" fontId="0" fillId="33" borderId="72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2" fillId="0" borderId="16" xfId="0" applyFont="1" applyBorder="1" applyAlignment="1">
      <alignment horizontal="left"/>
    </xf>
    <xf numFmtId="0" fontId="0" fillId="0" borderId="3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22" xfId="0" applyFont="1" applyBorder="1" applyAlignment="1">
      <alignment horizontal="left"/>
    </xf>
    <xf numFmtId="0" fontId="0" fillId="0" borderId="4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45" borderId="31" xfId="0" applyFill="1" applyBorder="1" applyAlignment="1">
      <alignment vertical="center"/>
    </xf>
    <xf numFmtId="0" fontId="0" fillId="45" borderId="60" xfId="0" applyFill="1" applyBorder="1" applyAlignment="1">
      <alignment vertical="center"/>
    </xf>
    <xf numFmtId="0" fontId="0" fillId="45" borderId="33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4" borderId="68" xfId="0" applyFont="1" applyFill="1" applyBorder="1" applyAlignment="1">
      <alignment horizontal="center" vertical="center"/>
    </xf>
    <xf numFmtId="0" fontId="53" fillId="34" borderId="74" xfId="0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/>
    </xf>
    <xf numFmtId="0" fontId="53" fillId="34" borderId="76" xfId="0" applyFont="1" applyFill="1" applyBorder="1" applyAlignment="1">
      <alignment horizontal="center" vertical="center"/>
    </xf>
    <xf numFmtId="0" fontId="53" fillId="34" borderId="77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3" fillId="0" borderId="75" xfId="0" applyFont="1" applyFill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60" xfId="0" applyFont="1" applyBorder="1" applyAlignment="1">
      <alignment vertical="center"/>
    </xf>
    <xf numFmtId="0" fontId="53" fillId="44" borderId="41" xfId="0" applyFont="1" applyFill="1" applyBorder="1" applyAlignment="1">
      <alignment vertical="center"/>
    </xf>
    <xf numFmtId="0" fontId="53" fillId="0" borderId="75" xfId="0" applyFont="1" applyBorder="1" applyAlignment="1">
      <alignment horizontal="center" vertical="center"/>
    </xf>
    <xf numFmtId="0" fontId="53" fillId="0" borderId="75" xfId="0" applyFont="1" applyBorder="1" applyAlignment="1">
      <alignment vertical="center"/>
    </xf>
    <xf numFmtId="0" fontId="53" fillId="0" borderId="66" xfId="0" applyFont="1" applyFill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87" fillId="0" borderId="15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 quotePrefix="1">
      <alignment horizontal="left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53" fillId="34" borderId="78" xfId="0" applyFont="1" applyFill="1" applyBorder="1" applyAlignment="1">
      <alignment horizontal="center" vertical="center"/>
    </xf>
    <xf numFmtId="0" fontId="98" fillId="34" borderId="74" xfId="0" applyFont="1" applyFill="1" applyBorder="1" applyAlignment="1">
      <alignment horizontal="center" vertical="center"/>
    </xf>
    <xf numFmtId="0" fontId="53" fillId="34" borderId="57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4" borderId="58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98" fillId="34" borderId="29" xfId="0" applyFont="1" applyFill="1" applyBorder="1" applyAlignment="1">
      <alignment horizontal="center" vertical="center"/>
    </xf>
    <xf numFmtId="0" fontId="53" fillId="34" borderId="66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98" fillId="34" borderId="77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34" borderId="79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42" borderId="80" xfId="0" applyFont="1" applyFill="1" applyBorder="1" applyAlignment="1">
      <alignment horizontal="center" vertical="center"/>
    </xf>
    <xf numFmtId="0" fontId="39" fillId="42" borderId="81" xfId="0" applyFont="1" applyFill="1" applyBorder="1" applyAlignment="1">
      <alignment horizontal="center" vertical="center"/>
    </xf>
    <xf numFmtId="0" fontId="39" fillId="42" borderId="82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0" fillId="47" borderId="24" xfId="0" applyFill="1" applyBorder="1" applyAlignment="1">
      <alignment/>
    </xf>
    <xf numFmtId="0" fontId="39" fillId="48" borderId="82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3" fillId="39" borderId="83" xfId="0" applyFont="1" applyFill="1" applyBorder="1" applyAlignment="1">
      <alignment horizontal="left"/>
    </xf>
    <xf numFmtId="0" fontId="43" fillId="39" borderId="84" xfId="0" applyFont="1" applyFill="1" applyBorder="1" applyAlignment="1">
      <alignment horizontal="left"/>
    </xf>
    <xf numFmtId="0" fontId="43" fillId="39" borderId="85" xfId="0" applyFont="1" applyFill="1" applyBorder="1" applyAlignment="1">
      <alignment horizontal="left"/>
    </xf>
    <xf numFmtId="0" fontId="49" fillId="34" borderId="86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right" vertical="center"/>
    </xf>
    <xf numFmtId="0" fontId="49" fillId="34" borderId="87" xfId="0" applyFont="1" applyFill="1" applyBorder="1" applyAlignment="1">
      <alignment horizontal="center" vertical="center"/>
    </xf>
    <xf numFmtId="0" fontId="0" fillId="49" borderId="0" xfId="0" applyFill="1" applyBorder="1" applyAlignment="1">
      <alignment vertical="center"/>
    </xf>
    <xf numFmtId="0" fontId="99" fillId="50" borderId="0" xfId="0" applyFont="1" applyFill="1" applyBorder="1" applyAlignment="1">
      <alignment horizontal="center" vertical="center"/>
    </xf>
    <xf numFmtId="0" fontId="100" fillId="51" borderId="0" xfId="0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39" fillId="52" borderId="0" xfId="0" applyFont="1" applyFill="1" applyAlignment="1">
      <alignment/>
    </xf>
    <xf numFmtId="0" fontId="0" fillId="52" borderId="0" xfId="0" applyFill="1" applyAlignment="1">
      <alignment/>
    </xf>
    <xf numFmtId="0" fontId="39" fillId="0" borderId="59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39" fillId="48" borderId="14" xfId="0" applyFont="1" applyFill="1" applyBorder="1" applyAlignment="1">
      <alignment horizontal="center" vertical="center"/>
    </xf>
    <xf numFmtId="0" fontId="39" fillId="0" borderId="88" xfId="0" applyFont="1" applyBorder="1" applyAlignment="1">
      <alignment vertical="center" wrapText="1"/>
    </xf>
    <xf numFmtId="0" fontId="39" fillId="53" borderId="89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39" fillId="38" borderId="90" xfId="0" applyFont="1" applyFill="1" applyBorder="1" applyAlignment="1">
      <alignment horizontal="center" vertical="center" wrapText="1"/>
    </xf>
    <xf numFmtId="0" fontId="15" fillId="33" borderId="91" xfId="42" applyNumberFormat="1" applyFill="1" applyBorder="1" applyAlignment="1" applyProtection="1">
      <alignment horizontal="center" vertical="center" wrapText="1"/>
      <protection/>
    </xf>
    <xf numFmtId="0" fontId="39" fillId="38" borderId="92" xfId="0" applyFont="1" applyFill="1" applyBorder="1" applyAlignment="1">
      <alignment horizontal="center" vertical="top" wrapText="1"/>
    </xf>
    <xf numFmtId="0" fontId="52" fillId="38" borderId="93" xfId="0" applyFont="1" applyFill="1" applyBorder="1" applyAlignment="1">
      <alignment horizontal="center" vertical="center" wrapText="1"/>
    </xf>
    <xf numFmtId="0" fontId="52" fillId="38" borderId="94" xfId="0" applyFont="1" applyFill="1" applyBorder="1" applyAlignment="1">
      <alignment horizontal="center" vertical="center" wrapText="1"/>
    </xf>
    <xf numFmtId="0" fontId="39" fillId="0" borderId="94" xfId="0" applyFont="1" applyFill="1" applyBorder="1" applyAlignment="1">
      <alignment horizontal="center" vertical="center" wrapText="1"/>
    </xf>
    <xf numFmtId="0" fontId="39" fillId="33" borderId="93" xfId="0" applyFont="1" applyFill="1" applyBorder="1" applyAlignment="1">
      <alignment horizontal="center" vertical="center" wrapText="1"/>
    </xf>
    <xf numFmtId="0" fontId="36" fillId="38" borderId="94" xfId="0" applyFont="1" applyFill="1" applyBorder="1" applyAlignment="1">
      <alignment horizontal="center" vertical="center" wrapText="1"/>
    </xf>
    <xf numFmtId="0" fontId="36" fillId="38" borderId="93" xfId="0" applyFont="1" applyFill="1" applyBorder="1" applyAlignment="1">
      <alignment horizontal="center" vertical="center" wrapText="1"/>
    </xf>
    <xf numFmtId="0" fontId="0" fillId="33" borderId="84" xfId="0" applyFill="1" applyBorder="1" applyAlignment="1">
      <alignment/>
    </xf>
    <xf numFmtId="0" fontId="38" fillId="38" borderId="94" xfId="0" applyFont="1" applyFill="1" applyBorder="1" applyAlignment="1">
      <alignment horizontal="right" vertical="center" wrapText="1"/>
    </xf>
    <xf numFmtId="0" fontId="38" fillId="38" borderId="93" xfId="0" applyFont="1" applyFill="1" applyBorder="1" applyAlignment="1">
      <alignment horizontal="left" vertical="center" wrapText="1"/>
    </xf>
    <xf numFmtId="0" fontId="43" fillId="39" borderId="95" xfId="0" applyFont="1" applyFill="1" applyBorder="1" applyAlignment="1">
      <alignment horizontal="left"/>
    </xf>
    <xf numFmtId="0" fontId="43" fillId="39" borderId="96" xfId="0" applyFont="1" applyFill="1" applyBorder="1" applyAlignment="1">
      <alignment horizontal="left"/>
    </xf>
    <xf numFmtId="0" fontId="0" fillId="33" borderId="94" xfId="0" applyFill="1" applyBorder="1" applyAlignment="1">
      <alignment/>
    </xf>
    <xf numFmtId="0" fontId="48" fillId="0" borderId="97" xfId="0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39" fillId="38" borderId="84" xfId="0" applyFont="1" applyFill="1" applyBorder="1" applyAlignment="1">
      <alignment horizontal="center" vertical="top" wrapText="1"/>
    </xf>
    <xf numFmtId="0" fontId="43" fillId="39" borderId="99" xfId="0" applyFont="1" applyFill="1" applyBorder="1" applyAlignment="1">
      <alignment horizontal="left"/>
    </xf>
    <xf numFmtId="0" fontId="43" fillId="39" borderId="100" xfId="0" applyFont="1" applyFill="1" applyBorder="1" applyAlignment="1">
      <alignment horizontal="left"/>
    </xf>
    <xf numFmtId="0" fontId="43" fillId="39" borderId="101" xfId="0" applyFont="1" applyFill="1" applyBorder="1" applyAlignment="1">
      <alignment horizontal="left"/>
    </xf>
    <xf numFmtId="0" fontId="0" fillId="33" borderId="92" xfId="0" applyFill="1" applyBorder="1" applyAlignment="1">
      <alignment/>
    </xf>
    <xf numFmtId="0" fontId="38" fillId="33" borderId="102" xfId="0" applyFont="1" applyFill="1" applyBorder="1" applyAlignment="1">
      <alignment horizontal="left" vertical="center" wrapText="1"/>
    </xf>
    <xf numFmtId="0" fontId="102" fillId="33" borderId="12" xfId="0" applyFont="1" applyFill="1" applyBorder="1" applyAlignment="1">
      <alignment vertical="center" wrapText="1"/>
    </xf>
    <xf numFmtId="0" fontId="10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7" fillId="0" borderId="103" xfId="0" applyFont="1" applyBorder="1" applyAlignment="1">
      <alignment horizontal="center" vertical="center" wrapText="1"/>
    </xf>
    <xf numFmtId="0" fontId="0" fillId="54" borderId="29" xfId="0" applyFill="1" applyBorder="1" applyAlignment="1">
      <alignment horizontal="center" vertical="center"/>
    </xf>
    <xf numFmtId="0" fontId="0" fillId="54" borderId="26" xfId="0" applyFill="1" applyBorder="1" applyAlignment="1">
      <alignment horizontal="center" vertical="center"/>
    </xf>
    <xf numFmtId="0" fontId="0" fillId="0" borderId="0" xfId="0" applyAlignment="1" quotePrefix="1">
      <alignment/>
    </xf>
    <xf numFmtId="14" fontId="39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104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1" fillId="34" borderId="75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53" fillId="33" borderId="94" xfId="0" applyFont="1" applyFill="1" applyBorder="1" applyAlignment="1">
      <alignment horizontal="center" vertical="center"/>
    </xf>
    <xf numFmtId="0" fontId="55" fillId="55" borderId="18" xfId="0" applyFont="1" applyFill="1" applyBorder="1" applyAlignment="1">
      <alignment horizontal="right" vertical="center"/>
    </xf>
    <xf numFmtId="0" fontId="57" fillId="56" borderId="3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7" borderId="103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0" fontId="34" fillId="57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6" fillId="0" borderId="80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 wrapText="1"/>
    </xf>
    <xf numFmtId="0" fontId="38" fillId="38" borderId="88" xfId="0" applyFont="1" applyFill="1" applyBorder="1" applyAlignment="1">
      <alignment horizontal="right" vertical="center" wrapText="1"/>
    </xf>
    <xf numFmtId="0" fontId="38" fillId="38" borderId="89" xfId="0" applyFont="1" applyFill="1" applyBorder="1" applyAlignment="1">
      <alignment horizontal="left" vertical="center" wrapText="1"/>
    </xf>
    <xf numFmtId="0" fontId="36" fillId="0" borderId="99" xfId="0" applyFont="1" applyFill="1" applyBorder="1" applyAlignment="1">
      <alignment horizontal="center" vertical="center"/>
    </xf>
    <xf numFmtId="0" fontId="39" fillId="38" borderId="83" xfId="0" applyFont="1" applyFill="1" applyBorder="1" applyAlignment="1">
      <alignment horizontal="center" vertical="center" wrapText="1"/>
    </xf>
    <xf numFmtId="0" fontId="39" fillId="38" borderId="85" xfId="0" applyFont="1" applyFill="1" applyBorder="1" applyAlignment="1">
      <alignment horizontal="center" vertical="center" wrapText="1"/>
    </xf>
    <xf numFmtId="0" fontId="39" fillId="38" borderId="103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38" fillId="0" borderId="0" xfId="0" applyFont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4" fillId="43" borderId="10" xfId="0" applyFont="1" applyFill="1" applyBorder="1" applyAlignment="1">
      <alignment horizontal="center" vertical="center" wrapText="1"/>
    </xf>
    <xf numFmtId="0" fontId="44" fillId="58" borderId="12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50" fillId="41" borderId="74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59" borderId="0" xfId="0" applyFont="1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57" fillId="37" borderId="16" xfId="0" applyFont="1" applyFill="1" applyBorder="1" applyAlignment="1">
      <alignment horizontal="right" vertical="center"/>
    </xf>
    <xf numFmtId="0" fontId="60" fillId="33" borderId="103" xfId="0" applyFont="1" applyFill="1" applyBorder="1" applyAlignment="1">
      <alignment horizontal="right" vertical="center" wrapText="1"/>
    </xf>
    <xf numFmtId="0" fontId="55" fillId="55" borderId="18" xfId="0" applyFont="1" applyFill="1" applyBorder="1" applyAlignment="1">
      <alignment horizontal="right" vertical="center"/>
    </xf>
    <xf numFmtId="0" fontId="36" fillId="0" borderId="100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48" fillId="48" borderId="104" xfId="0" applyFont="1" applyFill="1" applyBorder="1" applyAlignment="1">
      <alignment horizontal="center" vertical="center"/>
    </xf>
    <xf numFmtId="0" fontId="39" fillId="48" borderId="105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88" xfId="0" applyBorder="1" applyAlignment="1">
      <alignment vertical="center"/>
    </xf>
    <xf numFmtId="0" fontId="0" fillId="0" borderId="81" xfId="0" applyFont="1" applyBorder="1" applyAlignment="1">
      <alignment horizontal="right" vertical="center"/>
    </xf>
    <xf numFmtId="0" fontId="0" fillId="0" borderId="82" xfId="0" applyFont="1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38" borderId="112" xfId="0" applyFill="1" applyBorder="1" applyAlignment="1">
      <alignment vertical="center"/>
    </xf>
    <xf numFmtId="0" fontId="0" fillId="38" borderId="100" xfId="0" applyFill="1" applyBorder="1" applyAlignment="1">
      <alignment vertical="center"/>
    </xf>
    <xf numFmtId="0" fontId="0" fillId="44" borderId="112" xfId="0" applyFill="1" applyBorder="1" applyAlignment="1">
      <alignment vertical="center"/>
    </xf>
    <xf numFmtId="0" fontId="0" fillId="44" borderId="100" xfId="0" applyFill="1" applyBorder="1" applyAlignment="1">
      <alignment vertical="center"/>
    </xf>
    <xf numFmtId="0" fontId="0" fillId="38" borderId="113" xfId="0" applyFill="1" applyBorder="1" applyAlignment="1">
      <alignment vertical="center"/>
    </xf>
    <xf numFmtId="0" fontId="0" fillId="38" borderId="114" xfId="0" applyFill="1" applyBorder="1" applyAlignment="1">
      <alignment vertical="center"/>
    </xf>
    <xf numFmtId="0" fontId="0" fillId="38" borderId="101" xfId="0" applyFill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15" xfId="0" applyBorder="1" applyAlignment="1">
      <alignment vertical="center"/>
    </xf>
    <xf numFmtId="0" fontId="39" fillId="52" borderId="116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/>
    </xf>
    <xf numFmtId="0" fontId="0" fillId="0" borderId="118" xfId="0" applyFont="1" applyBorder="1" applyAlignment="1">
      <alignment vertical="center"/>
    </xf>
    <xf numFmtId="0" fontId="0" fillId="0" borderId="119" xfId="0" applyBorder="1" applyAlignment="1">
      <alignment horizontal="center" vertical="center"/>
    </xf>
    <xf numFmtId="0" fontId="81" fillId="0" borderId="0" xfId="0" applyFont="1" applyAlignment="1" applyProtection="1">
      <alignment vertical="center"/>
      <protection locked="0"/>
    </xf>
    <xf numFmtId="2" fontId="45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36" fillId="42" borderId="12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right"/>
      <protection locked="0"/>
    </xf>
    <xf numFmtId="0" fontId="36" fillId="60" borderId="11" xfId="0" applyFont="1" applyFill="1" applyBorder="1" applyAlignment="1" applyProtection="1">
      <alignment horizontal="center"/>
      <protection locked="0"/>
    </xf>
    <xf numFmtId="49" fontId="89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39" fillId="0" borderId="35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6" fillId="0" borderId="57" xfId="0" applyFont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11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1" fillId="0" borderId="12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80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center" wrapText="1"/>
      <protection locked="0"/>
    </xf>
    <xf numFmtId="0" fontId="38" fillId="0" borderId="68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38" fillId="0" borderId="69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38" fillId="0" borderId="81" xfId="0" applyFont="1" applyBorder="1" applyAlignment="1" applyProtection="1">
      <alignment horizontal="center" vertical="center"/>
      <protection locked="0"/>
    </xf>
    <xf numFmtId="0" fontId="90" fillId="0" borderId="33" xfId="0" applyFont="1" applyFill="1" applyBorder="1" applyAlignment="1" applyProtection="1">
      <alignment horizontal="center" wrapText="1"/>
      <protection locked="0"/>
    </xf>
    <xf numFmtId="0" fontId="92" fillId="33" borderId="33" xfId="0" applyFont="1" applyFill="1" applyBorder="1" applyAlignment="1" applyProtection="1">
      <alignment horizontal="center" wrapText="1"/>
      <protection locked="0"/>
    </xf>
    <xf numFmtId="0" fontId="96" fillId="0" borderId="69" xfId="0" applyFont="1" applyBorder="1" applyAlignment="1" applyProtection="1">
      <alignment/>
      <protection locked="0"/>
    </xf>
    <xf numFmtId="0" fontId="73" fillId="0" borderId="29" xfId="0" applyFont="1" applyBorder="1" applyAlignment="1" applyProtection="1">
      <alignment/>
      <protection locked="0"/>
    </xf>
    <xf numFmtId="0" fontId="11" fillId="33" borderId="33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45" fillId="0" borderId="69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 applyProtection="1">
      <alignment horizontal="center" wrapText="1"/>
      <protection locked="0"/>
    </xf>
    <xf numFmtId="0" fontId="11" fillId="0" borderId="60" xfId="0" applyFont="1" applyBorder="1" applyAlignment="1" applyProtection="1">
      <alignment horizontal="center" wrapText="1"/>
      <protection locked="0"/>
    </xf>
    <xf numFmtId="0" fontId="38" fillId="0" borderId="70" xfId="0" applyFont="1" applyBorder="1" applyAlignment="1" applyProtection="1">
      <alignment/>
      <protection locked="0"/>
    </xf>
    <xf numFmtId="0" fontId="0" fillId="0" borderId="77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/>
      <protection locked="0"/>
    </xf>
    <xf numFmtId="0" fontId="92" fillId="0" borderId="60" xfId="0" applyFont="1" applyFill="1" applyBorder="1" applyAlignment="1" applyProtection="1">
      <alignment horizontal="center" wrapText="1"/>
      <protection locked="0"/>
    </xf>
    <xf numFmtId="0" fontId="95" fillId="0" borderId="69" xfId="0" applyFont="1" applyBorder="1" applyAlignment="1" applyProtection="1">
      <alignment/>
      <protection locked="0"/>
    </xf>
    <xf numFmtId="0" fontId="73" fillId="0" borderId="77" xfId="0" applyFont="1" applyBorder="1" applyAlignment="1" applyProtection="1">
      <alignment/>
      <protection locked="0"/>
    </xf>
    <xf numFmtId="0" fontId="0" fillId="0" borderId="122" xfId="0" applyFont="1" applyBorder="1" applyAlignment="1" applyProtection="1">
      <alignment/>
      <protection locked="0"/>
    </xf>
    <xf numFmtId="0" fontId="38" fillId="0" borderId="123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38" fillId="0" borderId="67" xfId="0" applyFont="1" applyBorder="1" applyAlignment="1" applyProtection="1">
      <alignment/>
      <protection locked="0"/>
    </xf>
    <xf numFmtId="0" fontId="38" fillId="0" borderId="82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vertical="center"/>
      <protection locked="0"/>
    </xf>
    <xf numFmtId="0" fontId="0" fillId="0" borderId="12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124" xfId="0" applyFont="1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25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26" xfId="0" applyBorder="1" applyAlignment="1" applyProtection="1">
      <alignment vertical="center"/>
      <protection locked="0"/>
    </xf>
    <xf numFmtId="0" fontId="0" fillId="0" borderId="127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8" xfId="0" applyBorder="1" applyAlignment="1" applyProtection="1">
      <alignment vertical="center"/>
      <protection locked="0"/>
    </xf>
    <xf numFmtId="0" fontId="0" fillId="0" borderId="129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14" fontId="74" fillId="0" borderId="0" xfId="0" applyNumberFormat="1" applyFont="1" applyAlignment="1" applyProtection="1">
      <alignment vertical="center"/>
      <protection locked="0"/>
    </xf>
    <xf numFmtId="0" fontId="81" fillId="34" borderId="73" xfId="0" applyFont="1" applyFill="1" applyBorder="1" applyAlignment="1" applyProtection="1">
      <alignment vertical="center"/>
      <protection locked="0"/>
    </xf>
    <xf numFmtId="0" fontId="81" fillId="34" borderId="130" xfId="0" applyFont="1" applyFill="1" applyBorder="1" applyAlignment="1" applyProtection="1">
      <alignment vertical="center"/>
      <protection locked="0"/>
    </xf>
    <xf numFmtId="0" fontId="53" fillId="34" borderId="73" xfId="0" applyFont="1" applyFill="1" applyBorder="1" applyAlignment="1" applyProtection="1">
      <alignment vertical="center"/>
      <protection locked="0"/>
    </xf>
    <xf numFmtId="0" fontId="81" fillId="0" borderId="0" xfId="0" applyFont="1" applyAlignment="1" applyProtection="1" quotePrefix="1">
      <alignment vertical="center"/>
      <protection locked="0"/>
    </xf>
    <xf numFmtId="0" fontId="53" fillId="34" borderId="130" xfId="0" applyFont="1" applyFill="1" applyBorder="1" applyAlignment="1" applyProtection="1">
      <alignment vertical="center"/>
      <protection locked="0"/>
    </xf>
    <xf numFmtId="0" fontId="38" fillId="0" borderId="65" xfId="0" applyFont="1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vertical="center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14" fontId="81" fillId="0" borderId="0" xfId="0" applyNumberFormat="1" applyFont="1" applyAlignment="1" applyProtection="1">
      <alignment vertical="center"/>
      <protection locked="0"/>
    </xf>
    <xf numFmtId="0" fontId="38" fillId="0" borderId="60" xfId="0" applyFont="1" applyBorder="1" applyAlignment="1" applyProtection="1">
      <alignment horizontal="center" vertical="center"/>
      <protection locked="0"/>
    </xf>
    <xf numFmtId="0" fontId="53" fillId="34" borderId="130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53" fillId="34" borderId="73" xfId="0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4" borderId="127" xfId="0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28" xfId="0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0" fontId="115" fillId="37" borderId="41" xfId="0" applyFont="1" applyFill="1" applyBorder="1" applyAlignment="1">
      <alignment horizontal="center" vertical="center"/>
    </xf>
    <xf numFmtId="0" fontId="55" fillId="37" borderId="131" xfId="0" applyFont="1" applyFill="1" applyBorder="1" applyAlignment="1">
      <alignment horizontal="right" vertical="center"/>
    </xf>
    <xf numFmtId="0" fontId="55" fillId="37" borderId="32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>
      <alignment horizontal="center" vertical="center" wrapText="1"/>
    </xf>
    <xf numFmtId="0" fontId="0" fillId="52" borderId="132" xfId="0" applyFill="1" applyBorder="1" applyAlignment="1">
      <alignment horizontal="center" vertical="center"/>
    </xf>
    <xf numFmtId="0" fontId="39" fillId="38" borderId="89" xfId="0" applyFont="1" applyFill="1" applyBorder="1" applyAlignment="1">
      <alignment vertical="center" wrapText="1"/>
    </xf>
    <xf numFmtId="0" fontId="0" fillId="0" borderId="133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38" borderId="133" xfId="0" applyFill="1" applyBorder="1" applyAlignment="1">
      <alignment vertical="center"/>
    </xf>
    <xf numFmtId="0" fontId="0" fillId="38" borderId="97" xfId="0" applyFill="1" applyBorder="1" applyAlignment="1">
      <alignment vertical="center"/>
    </xf>
    <xf numFmtId="0" fontId="0" fillId="38" borderId="99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49" fillId="0" borderId="103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7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107" fillId="0" borderId="3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39" fillId="52" borderId="135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39" fillId="42" borderId="89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42" borderId="136" xfId="0" applyFont="1" applyFill="1" applyBorder="1" applyAlignment="1">
      <alignment horizontal="center" vertical="center"/>
    </xf>
    <xf numFmtId="0" fontId="39" fillId="0" borderId="137" xfId="0" applyFont="1" applyFill="1" applyBorder="1" applyAlignment="1">
      <alignment horizontal="center" vertical="center"/>
    </xf>
    <xf numFmtId="0" fontId="39" fillId="42" borderId="137" xfId="0" applyFont="1" applyFill="1" applyBorder="1" applyAlignment="1">
      <alignment horizontal="center" vertical="center"/>
    </xf>
    <xf numFmtId="0" fontId="39" fillId="42" borderId="138" xfId="0" applyFont="1" applyFill="1" applyBorder="1" applyAlignment="1">
      <alignment horizontal="center" vertical="center"/>
    </xf>
    <xf numFmtId="0" fontId="57" fillId="37" borderId="34" xfId="0" applyFont="1" applyFill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53" borderId="89" xfId="0" applyFont="1" applyFill="1" applyBorder="1" applyAlignment="1">
      <alignment horizontal="center" vertical="center"/>
    </xf>
    <xf numFmtId="0" fontId="0" fillId="61" borderId="89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left" vertical="center"/>
    </xf>
    <xf numFmtId="0" fontId="36" fillId="42" borderId="8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139" xfId="0" applyFont="1" applyFill="1" applyBorder="1" applyAlignment="1">
      <alignment horizontal="center" vertical="center"/>
    </xf>
    <xf numFmtId="0" fontId="39" fillId="0" borderId="140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111" fillId="0" borderId="0" xfId="0" applyFont="1" applyAlignment="1">
      <alignment vertical="center"/>
    </xf>
    <xf numFmtId="0" fontId="111" fillId="59" borderId="0" xfId="0" applyFont="1" applyFill="1" applyAlignment="1">
      <alignment vertical="center"/>
    </xf>
    <xf numFmtId="0" fontId="113" fillId="37" borderId="0" xfId="0" applyFont="1" applyFill="1" applyAlignment="1">
      <alignment vertical="center"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0" fontId="0" fillId="0" borderId="141" xfId="0" applyBorder="1" applyAlignment="1">
      <alignment vertical="center"/>
    </xf>
    <xf numFmtId="0" fontId="0" fillId="0" borderId="141" xfId="0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74" fillId="33" borderId="103" xfId="0" applyFont="1" applyFill="1" applyBorder="1" applyAlignment="1">
      <alignment horizontal="right" vertical="top" wrapText="1"/>
    </xf>
    <xf numFmtId="0" fontId="89" fillId="62" borderId="142" xfId="0" applyFont="1" applyFill="1" applyBorder="1" applyAlignment="1">
      <alignment vertical="center" wrapText="1"/>
    </xf>
    <xf numFmtId="0" fontId="44" fillId="43" borderId="13" xfId="0" applyFont="1" applyFill="1" applyBorder="1" applyAlignment="1">
      <alignment horizontal="center" vertical="center" wrapText="1"/>
    </xf>
    <xf numFmtId="0" fontId="69" fillId="39" borderId="0" xfId="0" applyFont="1" applyFill="1" applyBorder="1" applyAlignment="1">
      <alignment/>
    </xf>
    <xf numFmtId="0" fontId="43" fillId="39" borderId="0" xfId="0" applyFont="1" applyFill="1" applyBorder="1" applyAlignment="1">
      <alignment horizontal="right"/>
    </xf>
    <xf numFmtId="0" fontId="43" fillId="39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9" fillId="0" borderId="0" xfId="0" applyFont="1" applyAlignment="1" quotePrefix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7" borderId="80" xfId="0" applyFill="1" applyBorder="1" applyAlignment="1">
      <alignment vertical="center"/>
    </xf>
    <xf numFmtId="0" fontId="0" fillId="47" borderId="81" xfId="0" applyFill="1" applyBorder="1" applyAlignment="1">
      <alignment vertical="center"/>
    </xf>
    <xf numFmtId="0" fontId="0" fillId="47" borderId="82" xfId="0" applyFill="1" applyBorder="1" applyAlignment="1">
      <alignment vertical="center"/>
    </xf>
    <xf numFmtId="0" fontId="0" fillId="0" borderId="81" xfId="0" applyBorder="1" applyAlignment="1" quotePrefix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76" fillId="0" borderId="0" xfId="0" applyFont="1" applyAlignment="1">
      <alignment horizontal="center" vertical="center"/>
    </xf>
    <xf numFmtId="0" fontId="11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39" fillId="0" borderId="99" xfId="0" applyFont="1" applyBorder="1" applyAlignment="1" quotePrefix="1">
      <alignment horizontal="center" vertical="center" wrapText="1"/>
    </xf>
    <xf numFmtId="0" fontId="118" fillId="0" borderId="141" xfId="0" applyFont="1" applyBorder="1" applyAlignment="1">
      <alignment horizontal="left" vertical="center"/>
    </xf>
    <xf numFmtId="0" fontId="117" fillId="0" borderId="141" xfId="0" applyFont="1" applyBorder="1" applyAlignment="1">
      <alignment vertical="center"/>
    </xf>
    <xf numFmtId="0" fontId="39" fillId="0" borderId="141" xfId="0" applyFont="1" applyBorder="1" applyAlignment="1" quotePrefix="1">
      <alignment vertical="center" wrapText="1"/>
    </xf>
    <xf numFmtId="0" fontId="0" fillId="0" borderId="141" xfId="0" applyBorder="1" applyAlignment="1">
      <alignment/>
    </xf>
    <xf numFmtId="0" fontId="36" fillId="0" borderId="141" xfId="0" applyFont="1" applyBorder="1" applyAlignment="1">
      <alignment vertical="center"/>
    </xf>
    <xf numFmtId="0" fontId="39" fillId="0" borderId="83" xfId="0" applyFont="1" applyBorder="1" applyAlignment="1" quotePrefix="1">
      <alignment vertical="center"/>
    </xf>
    <xf numFmtId="0" fontId="39" fillId="0" borderId="85" xfId="0" applyFont="1" applyBorder="1" applyAlignment="1">
      <alignment vertical="center"/>
    </xf>
    <xf numFmtId="0" fontId="39" fillId="0" borderId="143" xfId="0" applyFont="1" applyBorder="1" applyAlignment="1">
      <alignment horizontal="right" vertical="center" wrapText="1"/>
    </xf>
    <xf numFmtId="0" fontId="39" fillId="0" borderId="144" xfId="0" applyFont="1" applyBorder="1" applyAlignment="1">
      <alignment horizontal="right" vertical="center" wrapText="1"/>
    </xf>
    <xf numFmtId="0" fontId="39" fillId="0" borderId="135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4" fontId="0" fillId="0" borderId="88" xfId="0" applyNumberFormat="1" applyBorder="1" applyAlignment="1">
      <alignment vertical="center" wrapText="1"/>
    </xf>
    <xf numFmtId="0" fontId="0" fillId="0" borderId="83" xfId="0" applyFont="1" applyBorder="1" applyAlignment="1">
      <alignment vertical="center"/>
    </xf>
    <xf numFmtId="0" fontId="0" fillId="61" borderId="80" xfId="0" applyFill="1" applyBorder="1" applyAlignment="1">
      <alignment horizontal="center" vertical="center"/>
    </xf>
    <xf numFmtId="0" fontId="0" fillId="61" borderId="81" xfId="0" applyFill="1" applyBorder="1" applyAlignment="1">
      <alignment horizontal="center" vertical="center"/>
    </xf>
    <xf numFmtId="0" fontId="0" fillId="61" borderId="82" xfId="0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/>
    </xf>
    <xf numFmtId="0" fontId="39" fillId="48" borderId="18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 wrapText="1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48" borderId="81" xfId="0" applyFont="1" applyFill="1" applyBorder="1" applyAlignment="1">
      <alignment horizontal="center" vertical="center"/>
    </xf>
    <xf numFmtId="0" fontId="39" fillId="42" borderId="151" xfId="0" applyFont="1" applyFill="1" applyBorder="1" applyAlignment="1">
      <alignment horizontal="center" vertical="center"/>
    </xf>
    <xf numFmtId="0" fontId="74" fillId="38" borderId="103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41" xfId="0" applyBorder="1" applyAlignment="1">
      <alignment/>
    </xf>
    <xf numFmtId="0" fontId="36" fillId="0" borderId="14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5" fillId="33" borderId="97" xfId="42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9" fillId="53" borderId="0" xfId="0" applyFont="1" applyFill="1" applyBorder="1" applyAlignment="1">
      <alignment horizontal="center" vertical="center"/>
    </xf>
    <xf numFmtId="0" fontId="39" fillId="48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9" fillId="63" borderId="59" xfId="0" applyFont="1" applyFill="1" applyBorder="1" applyAlignment="1">
      <alignment/>
    </xf>
    <xf numFmtId="0" fontId="105" fillId="33" borderId="103" xfId="0" applyFont="1" applyFill="1" applyBorder="1" applyAlignment="1">
      <alignment horizontal="right" vertical="center" wrapText="1"/>
    </xf>
    <xf numFmtId="0" fontId="62" fillId="33" borderId="18" xfId="0" applyFont="1" applyFill="1" applyBorder="1" applyAlignment="1">
      <alignment horizontal="right" vertical="center" wrapText="1"/>
    </xf>
    <xf numFmtId="0" fontId="0" fillId="64" borderId="8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" fontId="3" fillId="33" borderId="14" xfId="0" applyNumberFormat="1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9" fillId="38" borderId="12" xfId="0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right" vertical="center" wrapText="1"/>
    </xf>
    <xf numFmtId="0" fontId="119" fillId="33" borderId="15" xfId="0" applyFont="1" applyFill="1" applyBorder="1" applyAlignment="1">
      <alignment horizontal="left" vertical="center" wrapText="1"/>
    </xf>
    <xf numFmtId="0" fontId="119" fillId="37" borderId="10" xfId="0" applyFont="1" applyFill="1" applyBorder="1" applyAlignment="1">
      <alignment horizontal="right" vertical="center" wrapText="1"/>
    </xf>
    <xf numFmtId="0" fontId="119" fillId="37" borderId="15" xfId="0" applyFont="1" applyFill="1" applyBorder="1" applyAlignment="1">
      <alignment horizontal="left" vertical="center" wrapText="1"/>
    </xf>
    <xf numFmtId="0" fontId="119" fillId="0" borderId="65" xfId="0" applyFont="1" applyFill="1" applyBorder="1" applyAlignment="1">
      <alignment horizontal="center" vertical="center"/>
    </xf>
    <xf numFmtId="0" fontId="121" fillId="34" borderId="13" xfId="0" applyFont="1" applyFill="1" applyBorder="1" applyAlignment="1">
      <alignment horizontal="center" vertical="center" wrapText="1"/>
    </xf>
    <xf numFmtId="0" fontId="119" fillId="34" borderId="14" xfId="0" applyFont="1" applyFill="1" applyBorder="1" applyAlignment="1">
      <alignment horizontal="center" vertical="center"/>
    </xf>
    <xf numFmtId="0" fontId="119" fillId="0" borderId="12" xfId="0" applyFont="1" applyBorder="1" applyAlignment="1">
      <alignment horizontal="center" vertical="center"/>
    </xf>
    <xf numFmtId="0" fontId="119" fillId="0" borderId="33" xfId="0" applyFont="1" applyFill="1" applyBorder="1" applyAlignment="1">
      <alignment horizontal="center" vertical="center"/>
    </xf>
    <xf numFmtId="0" fontId="119" fillId="37" borderId="33" xfId="0" applyFont="1" applyFill="1" applyBorder="1" applyAlignment="1">
      <alignment horizontal="center" vertical="center"/>
    </xf>
    <xf numFmtId="0" fontId="121" fillId="37" borderId="13" xfId="0" applyFont="1" applyFill="1" applyBorder="1" applyAlignment="1">
      <alignment horizontal="center" vertical="center" wrapText="1"/>
    </xf>
    <xf numFmtId="0" fontId="119" fillId="37" borderId="14" xfId="0" applyFont="1" applyFill="1" applyBorder="1" applyAlignment="1">
      <alignment horizontal="center" vertical="center"/>
    </xf>
    <xf numFmtId="0" fontId="119" fillId="37" borderId="12" xfId="0" applyFont="1" applyFill="1" applyBorder="1" applyAlignment="1">
      <alignment horizontal="center" vertical="center"/>
    </xf>
    <xf numFmtId="0" fontId="119" fillId="0" borderId="60" xfId="0" applyFont="1" applyFill="1" applyBorder="1" applyAlignment="1">
      <alignment horizontal="center" vertical="center"/>
    </xf>
    <xf numFmtId="0" fontId="124" fillId="34" borderId="33" xfId="0" applyFont="1" applyFill="1" applyBorder="1" applyAlignment="1">
      <alignment horizontal="center" vertical="center"/>
    </xf>
    <xf numFmtId="0" fontId="125" fillId="65" borderId="72" xfId="0" applyFont="1" applyFill="1" applyBorder="1" applyAlignment="1">
      <alignment horizontal="center" vertical="center"/>
    </xf>
    <xf numFmtId="0" fontId="89" fillId="33" borderId="100" xfId="0" applyFont="1" applyFill="1" applyBorder="1" applyAlignment="1">
      <alignment horizontal="center" vertical="top" wrapText="1"/>
    </xf>
    <xf numFmtId="0" fontId="124" fillId="34" borderId="65" xfId="0" applyFont="1" applyFill="1" applyBorder="1" applyAlignment="1">
      <alignment horizontal="center" vertical="center"/>
    </xf>
    <xf numFmtId="0" fontId="125" fillId="66" borderId="103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38" borderId="103" xfId="0" applyFill="1" applyBorder="1" applyAlignment="1">
      <alignment vertical="center"/>
    </xf>
    <xf numFmtId="0" fontId="36" fillId="42" borderId="20" xfId="0" applyFont="1" applyFill="1" applyBorder="1" applyAlignment="1">
      <alignment horizontal="center" vertical="center"/>
    </xf>
    <xf numFmtId="0" fontId="36" fillId="0" borderId="129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48" borderId="18" xfId="0" applyFont="1" applyFill="1" applyBorder="1" applyAlignment="1">
      <alignment horizontal="center" vertical="center"/>
    </xf>
    <xf numFmtId="0" fontId="36" fillId="38" borderId="90" xfId="0" applyFont="1" applyFill="1" applyBorder="1" applyAlignment="1">
      <alignment horizontal="center" vertical="center" wrapText="1"/>
    </xf>
    <xf numFmtId="0" fontId="36" fillId="38" borderId="46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vertical="center" wrapText="1"/>
    </xf>
    <xf numFmtId="0" fontId="39" fillId="67" borderId="101" xfId="0" applyFont="1" applyFill="1" applyBorder="1" applyAlignment="1" quotePrefix="1">
      <alignment vertical="center" wrapText="1"/>
    </xf>
    <xf numFmtId="0" fontId="0" fillId="0" borderId="84" xfId="0" applyFont="1" applyBorder="1" applyAlignment="1">
      <alignment vertical="center"/>
    </xf>
    <xf numFmtId="0" fontId="0" fillId="61" borderId="0" xfId="0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05" fillId="33" borderId="88" xfId="0" applyFont="1" applyFill="1" applyBorder="1" applyAlignment="1">
      <alignment horizontal="right" vertical="center" wrapText="1"/>
    </xf>
    <xf numFmtId="0" fontId="34" fillId="68" borderId="0" xfId="0" applyFont="1" applyFill="1" applyBorder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48" borderId="100" xfId="0" applyFont="1" applyFill="1" applyBorder="1" applyAlignment="1">
      <alignment horizontal="center" vertical="center"/>
    </xf>
    <xf numFmtId="0" fontId="15" fillId="33" borderId="152" xfId="42" applyNumberFormat="1" applyFill="1" applyBorder="1" applyAlignment="1" applyProtection="1">
      <alignment horizontal="center" vertical="center" wrapText="1"/>
      <protection/>
    </xf>
    <xf numFmtId="0" fontId="89" fillId="33" borderId="153" xfId="0" applyFont="1" applyFill="1" applyBorder="1" applyAlignment="1">
      <alignment horizontal="center" vertical="center" wrapText="1"/>
    </xf>
    <xf numFmtId="0" fontId="0" fillId="33" borderId="141" xfId="0" applyFill="1" applyBorder="1" applyAlignment="1">
      <alignment/>
    </xf>
    <xf numFmtId="0" fontId="38" fillId="33" borderId="154" xfId="0" applyFont="1" applyFill="1" applyBorder="1" applyAlignment="1">
      <alignment horizontal="center" vertical="center" wrapText="1"/>
    </xf>
    <xf numFmtId="0" fontId="54" fillId="38" borderId="154" xfId="0" applyFont="1" applyFill="1" applyBorder="1" applyAlignment="1">
      <alignment horizontal="center" vertical="center" wrapText="1"/>
    </xf>
    <xf numFmtId="0" fontId="39" fillId="33" borderId="154" xfId="0" applyFont="1" applyFill="1" applyBorder="1" applyAlignment="1">
      <alignment horizontal="center" vertical="center" wrapText="1"/>
    </xf>
    <xf numFmtId="0" fontId="36" fillId="38" borderId="154" xfId="0" applyFont="1" applyFill="1" applyBorder="1" applyAlignment="1">
      <alignment horizontal="center" vertical="center" wrapText="1"/>
    </xf>
    <xf numFmtId="0" fontId="0" fillId="33" borderId="155" xfId="0" applyFill="1" applyBorder="1" applyAlignment="1">
      <alignment/>
    </xf>
    <xf numFmtId="0" fontId="175" fillId="33" borderId="103" xfId="0" applyFont="1" applyFill="1" applyBorder="1" applyAlignment="1">
      <alignment horizontal="right" vertical="center" wrapText="1"/>
    </xf>
    <xf numFmtId="0" fontId="36" fillId="69" borderId="15" xfId="0" applyFont="1" applyFill="1" applyBorder="1" applyAlignment="1">
      <alignment horizontal="center" vertical="center"/>
    </xf>
    <xf numFmtId="0" fontId="34" fillId="16" borderId="103" xfId="0" applyFont="1" applyFill="1" applyBorder="1" applyAlignment="1">
      <alignment horizontal="center" vertical="center"/>
    </xf>
    <xf numFmtId="0" fontId="39" fillId="0" borderId="103" xfId="0" applyFont="1" applyBorder="1" applyAlignment="1">
      <alignment horizontal="right" wrapText="1"/>
    </xf>
    <xf numFmtId="0" fontId="34" fillId="31" borderId="103" xfId="0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76" fillId="70" borderId="156" xfId="0" applyFont="1" applyFill="1" applyBorder="1" applyAlignment="1">
      <alignment/>
    </xf>
    <xf numFmtId="0" fontId="177" fillId="71" borderId="0" xfId="0" applyFont="1" applyFill="1" applyBorder="1" applyAlignment="1">
      <alignment horizontal="right" vertical="center"/>
    </xf>
    <xf numFmtId="0" fontId="178" fillId="72" borderId="0" xfId="0" applyFont="1" applyFill="1" applyBorder="1" applyAlignment="1">
      <alignment horizontal="center" vertical="center"/>
    </xf>
    <xf numFmtId="0" fontId="179" fillId="0" borderId="0" xfId="0" applyFont="1" applyAlignment="1">
      <alignment/>
    </xf>
    <xf numFmtId="0" fontId="177" fillId="71" borderId="55" xfId="0" applyFont="1" applyFill="1" applyBorder="1" applyAlignment="1">
      <alignment horizontal="right" vertical="center"/>
    </xf>
    <xf numFmtId="0" fontId="180" fillId="0" borderId="0" xfId="0" applyFont="1" applyAlignment="1">
      <alignment/>
    </xf>
    <xf numFmtId="0" fontId="180" fillId="0" borderId="0" xfId="0" applyFont="1" applyFill="1" applyAlignment="1">
      <alignment/>
    </xf>
    <xf numFmtId="0" fontId="180" fillId="0" borderId="0" xfId="0" applyFont="1" applyAlignment="1">
      <alignment vertical="center"/>
    </xf>
    <xf numFmtId="0" fontId="50" fillId="41" borderId="157" xfId="0" applyFont="1" applyFill="1" applyBorder="1" applyAlignment="1">
      <alignment horizontal="right"/>
    </xf>
    <xf numFmtId="0" fontId="50" fillId="41" borderId="0" xfId="0" applyFont="1" applyFill="1" applyBorder="1" applyAlignment="1">
      <alignment horizontal="right" vertical="center"/>
    </xf>
    <xf numFmtId="0" fontId="181" fillId="0" borderId="0" xfId="0" applyFont="1" applyAlignment="1">
      <alignment/>
    </xf>
    <xf numFmtId="0" fontId="49" fillId="72" borderId="158" xfId="0" applyFont="1" applyFill="1" applyBorder="1" applyAlignment="1">
      <alignment horizontal="center" vertical="center"/>
    </xf>
    <xf numFmtId="0" fontId="49" fillId="72" borderId="159" xfId="0" applyFont="1" applyFill="1" applyBorder="1" applyAlignment="1">
      <alignment horizontal="center" vertical="center"/>
    </xf>
    <xf numFmtId="0" fontId="39" fillId="38" borderId="103" xfId="0" applyFont="1" applyFill="1" applyBorder="1" applyAlignment="1">
      <alignment horizontal="center" vertical="center" wrapText="1"/>
    </xf>
    <xf numFmtId="0" fontId="39" fillId="38" borderId="82" xfId="0" applyFont="1" applyFill="1" applyBorder="1" applyAlignment="1">
      <alignment horizontal="center" vertical="center" wrapText="1"/>
    </xf>
    <xf numFmtId="0" fontId="34" fillId="57" borderId="15" xfId="0" applyFont="1" applyFill="1" applyBorder="1" applyAlignment="1">
      <alignment horizontal="center" vertical="center" wrapText="1"/>
    </xf>
    <xf numFmtId="0" fontId="0" fillId="0" borderId="135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182" fillId="33" borderId="103" xfId="0" applyFont="1" applyFill="1" applyBorder="1" applyAlignment="1">
      <alignment horizontal="right" vertical="center" wrapText="1"/>
    </xf>
    <xf numFmtId="0" fontId="36" fillId="73" borderId="15" xfId="0" applyFont="1" applyFill="1" applyBorder="1" applyAlignment="1">
      <alignment horizontal="center" vertical="center"/>
    </xf>
    <xf numFmtId="0" fontId="45" fillId="68" borderId="160" xfId="0" applyFont="1" applyFill="1" applyBorder="1" applyAlignment="1">
      <alignment vertical="center" wrapText="1"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0" fontId="40" fillId="0" borderId="165" xfId="0" applyFont="1" applyBorder="1" applyAlignment="1">
      <alignment vertical="center"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0" fontId="40" fillId="0" borderId="16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1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24" fillId="48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4" fillId="48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2" fillId="48" borderId="169" xfId="0" applyFont="1" applyFill="1" applyBorder="1" applyAlignment="1">
      <alignment horizontal="center" vertical="center" wrapText="1"/>
    </xf>
    <xf numFmtId="0" fontId="35" fillId="0" borderId="0" xfId="42" applyNumberFormat="1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0" fontId="39" fillId="42" borderId="88" xfId="0" applyFont="1" applyFill="1" applyBorder="1" applyAlignment="1">
      <alignment horizontal="right" vertical="center" wrapText="1"/>
    </xf>
    <xf numFmtId="0" fontId="0" fillId="0" borderId="150" xfId="0" applyBorder="1" applyAlignment="1">
      <alignment vertical="center" wrapText="1"/>
    </xf>
    <xf numFmtId="0" fontId="39" fillId="0" borderId="88" xfId="0" applyFont="1" applyBorder="1" applyAlignment="1">
      <alignment horizontal="right" vertical="center" wrapText="1"/>
    </xf>
    <xf numFmtId="0" fontId="0" fillId="0" borderId="150" xfId="0" applyBorder="1" applyAlignment="1">
      <alignment horizontal="right" vertical="center" wrapText="1"/>
    </xf>
    <xf numFmtId="0" fontId="0" fillId="0" borderId="150" xfId="0" applyBorder="1" applyAlignment="1">
      <alignment vertical="center"/>
    </xf>
    <xf numFmtId="0" fontId="39" fillId="53" borderId="88" xfId="0" applyFont="1" applyFill="1" applyBorder="1" applyAlignment="1">
      <alignment horizontal="right" vertical="center" wrapText="1"/>
    </xf>
    <xf numFmtId="0" fontId="39" fillId="48" borderId="88" xfId="0" applyFont="1" applyFill="1" applyBorder="1" applyAlignment="1">
      <alignment horizontal="right" vertical="center" wrapText="1"/>
    </xf>
    <xf numFmtId="0" fontId="47" fillId="38" borderId="170" xfId="0" applyFont="1" applyFill="1" applyBorder="1" applyAlignment="1">
      <alignment horizontal="center" vertical="center" wrapText="1"/>
    </xf>
    <xf numFmtId="0" fontId="47" fillId="38" borderId="171" xfId="0" applyFont="1" applyFill="1" applyBorder="1" applyAlignment="1">
      <alignment horizontal="center" vertical="center" wrapText="1"/>
    </xf>
    <xf numFmtId="0" fontId="45" fillId="38" borderId="80" xfId="0" applyFont="1" applyFill="1" applyBorder="1" applyAlignment="1">
      <alignment horizontal="center" vertical="center"/>
    </xf>
    <xf numFmtId="0" fontId="45" fillId="38" borderId="82" xfId="0" applyFont="1" applyFill="1" applyBorder="1" applyAlignment="1">
      <alignment horizontal="center" vertical="center"/>
    </xf>
    <xf numFmtId="0" fontId="128" fillId="0" borderId="83" xfId="0" applyFont="1" applyBorder="1" applyAlignment="1">
      <alignment horizontal="center" vertical="center" wrapText="1"/>
    </xf>
    <xf numFmtId="0" fontId="128" fillId="0" borderId="99" xfId="0" applyFont="1" applyBorder="1" applyAlignment="1">
      <alignment horizontal="center" vertical="center" wrapText="1"/>
    </xf>
    <xf numFmtId="0" fontId="128" fillId="0" borderId="84" xfId="0" applyFont="1" applyBorder="1" applyAlignment="1">
      <alignment horizontal="center" vertical="center" wrapText="1"/>
    </xf>
    <xf numFmtId="0" fontId="128" fillId="0" borderId="100" xfId="0" applyFont="1" applyBorder="1" applyAlignment="1">
      <alignment horizontal="center" vertical="center" wrapText="1"/>
    </xf>
    <xf numFmtId="0" fontId="128" fillId="0" borderId="85" xfId="0" applyFont="1" applyBorder="1" applyAlignment="1">
      <alignment horizontal="center" vertical="center" wrapText="1"/>
    </xf>
    <xf numFmtId="0" fontId="128" fillId="0" borderId="101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/>
    </xf>
    <xf numFmtId="0" fontId="126" fillId="0" borderId="90" xfId="0" applyFont="1" applyFill="1" applyBorder="1" applyAlignment="1">
      <alignment horizontal="center" vertical="center"/>
    </xf>
    <xf numFmtId="0" fontId="126" fillId="0" borderId="91" xfId="0" applyFont="1" applyFill="1" applyBorder="1" applyAlignment="1">
      <alignment horizontal="center" vertical="center"/>
    </xf>
    <xf numFmtId="0" fontId="126" fillId="0" borderId="84" xfId="0" applyFont="1" applyFill="1" applyBorder="1" applyAlignment="1">
      <alignment horizontal="center" vertical="center"/>
    </xf>
    <xf numFmtId="0" fontId="126" fillId="0" borderId="100" xfId="0" applyFont="1" applyFill="1" applyBorder="1" applyAlignment="1">
      <alignment horizontal="center" vertical="center"/>
    </xf>
    <xf numFmtId="0" fontId="126" fillId="0" borderId="85" xfId="0" applyFont="1" applyFill="1" applyBorder="1" applyAlignment="1">
      <alignment horizontal="center" vertical="center"/>
    </xf>
    <xf numFmtId="0" fontId="126" fillId="0" borderId="101" xfId="0" applyFont="1" applyFill="1" applyBorder="1" applyAlignment="1">
      <alignment horizontal="center" vertical="center"/>
    </xf>
    <xf numFmtId="0" fontId="126" fillId="0" borderId="83" xfId="0" applyFont="1" applyBorder="1" applyAlignment="1">
      <alignment horizontal="center" vertical="center"/>
    </xf>
    <xf numFmtId="0" fontId="126" fillId="0" borderId="97" xfId="0" applyFont="1" applyBorder="1" applyAlignment="1">
      <alignment horizontal="center" vertical="center"/>
    </xf>
    <xf numFmtId="0" fontId="126" fillId="0" borderId="99" xfId="0" applyFont="1" applyBorder="1" applyAlignment="1">
      <alignment horizontal="center" vertical="center"/>
    </xf>
    <xf numFmtId="0" fontId="126" fillId="0" borderId="84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126" fillId="0" borderId="100" xfId="0" applyFont="1" applyBorder="1" applyAlignment="1">
      <alignment horizontal="center" vertical="center"/>
    </xf>
    <xf numFmtId="0" fontId="126" fillId="0" borderId="85" xfId="0" applyFont="1" applyBorder="1" applyAlignment="1">
      <alignment horizontal="center" vertical="center"/>
    </xf>
    <xf numFmtId="0" fontId="126" fillId="0" borderId="114" xfId="0" applyFont="1" applyBorder="1" applyAlignment="1">
      <alignment horizontal="center" vertical="center"/>
    </xf>
    <xf numFmtId="0" fontId="126" fillId="0" borderId="101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83" xfId="0" applyFont="1" applyBorder="1" applyAlignment="1">
      <alignment horizontal="center" vertical="center" wrapText="1"/>
    </xf>
    <xf numFmtId="0" fontId="127" fillId="0" borderId="99" xfId="0" applyFont="1" applyBorder="1" applyAlignment="1">
      <alignment horizontal="center" vertical="center" wrapText="1"/>
    </xf>
    <xf numFmtId="0" fontId="127" fillId="0" borderId="84" xfId="0" applyFont="1" applyBorder="1" applyAlignment="1">
      <alignment horizontal="center" vertical="center" wrapText="1"/>
    </xf>
    <xf numFmtId="0" fontId="127" fillId="0" borderId="100" xfId="0" applyFont="1" applyBorder="1" applyAlignment="1">
      <alignment horizontal="center" vertical="center" wrapText="1"/>
    </xf>
    <xf numFmtId="0" fontId="127" fillId="0" borderId="85" xfId="0" applyFont="1" applyBorder="1" applyAlignment="1">
      <alignment horizontal="center" vertical="center" wrapText="1"/>
    </xf>
    <xf numFmtId="0" fontId="127" fillId="0" borderId="101" xfId="0" applyFont="1" applyBorder="1" applyAlignment="1">
      <alignment horizontal="center" vertical="center" wrapText="1"/>
    </xf>
    <xf numFmtId="0" fontId="127" fillId="0" borderId="172" xfId="0" applyFont="1" applyBorder="1" applyAlignment="1">
      <alignment horizontal="center" vertical="center" wrapText="1"/>
    </xf>
    <xf numFmtId="0" fontId="127" fillId="0" borderId="173" xfId="0" applyFont="1" applyBorder="1" applyAlignment="1">
      <alignment horizontal="center" vertical="center" wrapText="1"/>
    </xf>
    <xf numFmtId="0" fontId="127" fillId="0" borderId="17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514350</xdr:colOff>
      <xdr:row>26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743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1"/>
  <sheetViews>
    <sheetView zoomScalePageLayoutView="0" workbookViewId="0" topLeftCell="A1">
      <pane ySplit="1" topLeftCell="A2" activePane="bottomLeft" state="frozen"/>
      <selection pane="topLeft" activeCell="B19" sqref="B19"/>
      <selection pane="bottomLeft" activeCell="A275" sqref="A275:D275"/>
    </sheetView>
  </sheetViews>
  <sheetFormatPr defaultColWidth="8.875" defaultRowHeight="12.75"/>
  <cols>
    <col min="1" max="1" width="4.00390625" style="1" customWidth="1"/>
    <col min="2" max="2" width="32.75390625" style="1" customWidth="1"/>
    <col min="3" max="3" width="8.75390625" style="1" customWidth="1"/>
    <col min="4" max="4" width="11.75390625" style="1" customWidth="1"/>
    <col min="5" max="5" width="14.375" style="2" customWidth="1"/>
    <col min="6" max="6" width="9.625" style="570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1.5" customHeight="1" hidden="1" thickBot="1">
      <c r="A1" s="4" t="s">
        <v>316</v>
      </c>
      <c r="B1" s="5" t="s">
        <v>0</v>
      </c>
      <c r="C1" s="6" t="s">
        <v>1</v>
      </c>
      <c r="D1" s="7" t="s">
        <v>2</v>
      </c>
      <c r="E1" s="7" t="s">
        <v>3</v>
      </c>
      <c r="F1" s="569" t="s">
        <v>316</v>
      </c>
      <c r="G1" s="3"/>
      <c r="H1" s="3"/>
      <c r="I1" s="8"/>
    </row>
    <row r="2" spans="1:9" ht="54" customHeight="1" hidden="1" thickBot="1">
      <c r="A2" s="1025" t="s">
        <v>4</v>
      </c>
      <c r="B2" s="1025"/>
      <c r="C2" s="1025"/>
      <c r="D2" s="1025"/>
      <c r="E2" s="9" t="s">
        <v>5</v>
      </c>
      <c r="F2" s="1026" t="s">
        <v>6</v>
      </c>
      <c r="G2" s="1026"/>
      <c r="H2" s="1026"/>
      <c r="I2" s="8"/>
    </row>
    <row r="3" spans="1:8" ht="24.75" customHeight="1" hidden="1" thickBot="1">
      <c r="A3" s="10" t="s">
        <v>7</v>
      </c>
      <c r="B3" s="1027" t="s">
        <v>0</v>
      </c>
      <c r="C3" s="1028" t="s">
        <v>1</v>
      </c>
      <c r="D3" s="1028" t="s">
        <v>2</v>
      </c>
      <c r="E3" s="1028" t="s">
        <v>3</v>
      </c>
      <c r="F3" s="1029" t="s">
        <v>8</v>
      </c>
      <c r="G3" s="1029"/>
      <c r="H3" s="1029"/>
    </row>
    <row r="4" spans="1:8" ht="13.5" hidden="1" thickBot="1">
      <c r="A4" s="12"/>
      <c r="B4" s="1027"/>
      <c r="C4" s="1028" t="s">
        <v>9</v>
      </c>
      <c r="D4" s="1028"/>
      <c r="E4" s="1028"/>
      <c r="F4" s="13" t="s">
        <v>10</v>
      </c>
      <c r="G4" s="14" t="s">
        <v>11</v>
      </c>
      <c r="H4" s="15" t="s">
        <v>12</v>
      </c>
    </row>
    <row r="5" spans="1:8" ht="26.2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>
        <f>VLOOKUP(D5,ПГ!$G$7:$I$21,3,TRUE)+VLOOKUP(D5,ПГ!$G$7:$I$21,2,TRUE)</f>
        <v>11150</v>
      </c>
      <c r="G5" s="22">
        <f aca="true" t="shared" si="0" ref="G5:G17">ROUND(F5*0.975,-1)</f>
        <v>10870</v>
      </c>
      <c r="H5" s="22">
        <f aca="true" t="shared" si="1" ref="H5:H17">ROUND(F5*0.95,-1)</f>
        <v>10590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>
        <f>F5+F10</f>
        <v>18820</v>
      </c>
      <c r="G6" s="22">
        <f t="shared" si="0"/>
        <v>18350</v>
      </c>
      <c r="H6" s="22">
        <f t="shared" si="1"/>
        <v>17880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>
        <f>F5+F11</f>
        <v>31850</v>
      </c>
      <c r="G7" s="22">
        <f t="shared" si="0"/>
        <v>31050</v>
      </c>
      <c r="H7" s="22">
        <f t="shared" si="1"/>
        <v>30260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>
        <f>F5+F10+F13</f>
        <v>29300</v>
      </c>
      <c r="G8" s="22">
        <f t="shared" si="0"/>
        <v>28570</v>
      </c>
      <c r="H8" s="22">
        <f t="shared" si="1"/>
        <v>27840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>
        <f>F5+F11+F13</f>
        <v>42330</v>
      </c>
      <c r="G9" s="22">
        <f t="shared" si="0"/>
        <v>41270</v>
      </c>
      <c r="H9" s="22">
        <f t="shared" si="1"/>
        <v>40210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>
        <f>VLOOKUP(D10,ПГ!$G$7:$I$21,2,TRUE)</f>
        <v>7670</v>
      </c>
      <c r="G10" s="32">
        <f t="shared" si="0"/>
        <v>7480</v>
      </c>
      <c r="H10" s="32">
        <f t="shared" si="1"/>
        <v>7290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>
        <f>VLOOKUP(D11,ПГ!$G$7:$I$21,2,TRUE)</f>
        <v>20700</v>
      </c>
      <c r="G11" s="32">
        <f t="shared" si="0"/>
        <v>20180</v>
      </c>
      <c r="H11" s="32">
        <f t="shared" si="1"/>
        <v>19670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>
        <f>VLOOKUP(D12,ПГ!$G$7:$I$21,2,TRUE)</f>
        <v>10480</v>
      </c>
      <c r="G12" s="39">
        <f t="shared" si="0"/>
        <v>10220</v>
      </c>
      <c r="H12" s="39">
        <f t="shared" si="1"/>
        <v>9960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>
        <f>VLOOKUP(D13,ПГ!$G$7:$I$21,2,TRUE)</f>
        <v>10480</v>
      </c>
      <c r="G13" s="39">
        <f t="shared" si="0"/>
        <v>10220</v>
      </c>
      <c r="H13" s="39">
        <f>ROUND(F13*0.95,-1)</f>
        <v>9960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>
        <f>VLOOKUP(D14,ПГ!$G$7:$I$21,2,TRUE)</f>
        <v>11630</v>
      </c>
      <c r="G14" s="39">
        <f t="shared" si="0"/>
        <v>11340</v>
      </c>
      <c r="H14" s="39">
        <f t="shared" si="1"/>
        <v>11050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>
        <f>VLOOKUP(D15,ПГ!$G$7:$I$21,2,TRUE)</f>
        <v>12140</v>
      </c>
      <c r="G15" s="39">
        <f t="shared" si="0"/>
        <v>11840</v>
      </c>
      <c r="H15" s="39">
        <f>ROUND(F15*0.95,-1)</f>
        <v>11530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>
        <f>VLOOKUP(D16,ПГ!$G$7:$I$21,2,TRUE)</f>
        <v>20110</v>
      </c>
      <c r="G16" s="39">
        <f t="shared" si="0"/>
        <v>19610</v>
      </c>
      <c r="H16" s="39">
        <f>ROUND(F16*0.95,-1)</f>
        <v>19100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>
        <f>VLOOKUP(D17,ПГ!$G$7:$I$21,2,TRUE)</f>
        <v>21820</v>
      </c>
      <c r="G17" s="39">
        <f t="shared" si="0"/>
        <v>21270</v>
      </c>
      <c r="H17" s="39">
        <f t="shared" si="1"/>
        <v>20730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>
        <f>VLOOKUP(D20,ПГ!$G$7:$I$21,3,TRUE)+VLOOKUP(D20,ПГ!$G$7:$I$21,2,TRUE)</f>
        <v>12820</v>
      </c>
      <c r="G20" s="53">
        <f aca="true" t="shared" si="2" ref="G20:G28">ROUND(F20*0.975,-1)</f>
        <v>12500</v>
      </c>
      <c r="H20" s="53">
        <f aca="true" t="shared" si="3" ref="H20:H28">ROUND(F20*0.95,-1)</f>
        <v>12180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>
        <f>VLOOKUP(D21,ПГ!$G$7:$I$21,2,TRUE)</f>
        <v>10480</v>
      </c>
      <c r="G21" s="39">
        <f t="shared" si="2"/>
        <v>10220</v>
      </c>
      <c r="H21" s="39">
        <f t="shared" si="3"/>
        <v>9960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>
        <f>VLOOKUP(D22,ПГ!$G$7:$I$21,2,TRUE)</f>
        <v>10480</v>
      </c>
      <c r="G22" s="39">
        <f t="shared" si="2"/>
        <v>10220</v>
      </c>
      <c r="H22" s="39">
        <f>ROUND(F22*0.95,-1)</f>
        <v>9960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>
        <f>VLOOKUP(D23,ПГ!$G$7:$I$21,2,TRUE)</f>
        <v>11630</v>
      </c>
      <c r="G23" s="39">
        <f t="shared" si="2"/>
        <v>11340</v>
      </c>
      <c r="H23" s="39">
        <f t="shared" si="3"/>
        <v>11050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>
        <f>VLOOKUP(D24,ПГ!$G$7:$I$21,2,TRUE)</f>
        <v>12140</v>
      </c>
      <c r="G24" s="39">
        <f t="shared" si="2"/>
        <v>11840</v>
      </c>
      <c r="H24" s="39">
        <f>ROUND(F24*0.95,-1)</f>
        <v>11530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>
        <f>VLOOKUP(D25,ПГ!$G$7:$I$21,2,TRUE)</f>
        <v>20110</v>
      </c>
      <c r="G25" s="39">
        <f t="shared" si="2"/>
        <v>19610</v>
      </c>
      <c r="H25" s="39">
        <f>ROUND(F25*0.95,-1)</f>
        <v>19100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>
        <f>VLOOKUP(D26,ПГ!$G$7:$I$21,2,TRUE)</f>
        <v>21820</v>
      </c>
      <c r="G26" s="39">
        <f t="shared" si="2"/>
        <v>21270</v>
      </c>
      <c r="H26" s="39">
        <f t="shared" si="3"/>
        <v>20730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>
        <f>VLOOKUP(D27,ПГ!$G$7:$I$21,2,TRUE)</f>
        <v>7670</v>
      </c>
      <c r="G27" s="32">
        <f t="shared" si="2"/>
        <v>7480</v>
      </c>
      <c r="H27" s="32">
        <f t="shared" si="3"/>
        <v>7290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>
        <f>VLOOKUP(D28,ПГ!$G$7:$I$21,2,TRUE)</f>
        <v>20700</v>
      </c>
      <c r="G28" s="32">
        <f t="shared" si="2"/>
        <v>20180</v>
      </c>
      <c r="H28" s="32">
        <f t="shared" si="3"/>
        <v>19670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>
        <f>VLOOKUP(D31,ПГ!$G$7:$I$21,3,TRUE)+VLOOKUP(D31,ПГ!$G$7:$I$21,2,TRUE)</f>
        <v>12820</v>
      </c>
      <c r="G31" s="53">
        <f aca="true" t="shared" si="4" ref="G31:G38">ROUND(F31*0.975,-1)</f>
        <v>12500</v>
      </c>
      <c r="H31" s="53">
        <f aca="true" t="shared" si="5" ref="H31:H38">ROUND(F31*0.95,-1)</f>
        <v>12180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>
        <f>VLOOKUP(D32,ПГ!$G$7:$I$21,2,TRUE)</f>
        <v>10480</v>
      </c>
      <c r="G32" s="39">
        <f t="shared" si="4"/>
        <v>10220</v>
      </c>
      <c r="H32" s="39">
        <f t="shared" si="5"/>
        <v>9960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>
        <f>VLOOKUP(D33,ПГ!$G$7:$I$21,2,TRUE)</f>
        <v>11630</v>
      </c>
      <c r="G33" s="39">
        <f t="shared" si="4"/>
        <v>11340</v>
      </c>
      <c r="H33" s="39">
        <f t="shared" si="5"/>
        <v>11050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>
        <f>VLOOKUP(D34,ПГ!$G$7:$I$21,2,TRUE)</f>
        <v>12140</v>
      </c>
      <c r="G34" s="39">
        <f t="shared" si="4"/>
        <v>11840</v>
      </c>
      <c r="H34" s="39">
        <f t="shared" si="5"/>
        <v>11530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>
        <f>VLOOKUP(D35,ПГ!$G$7:$I$21,2,TRUE)</f>
        <v>20110</v>
      </c>
      <c r="G35" s="39">
        <f t="shared" si="4"/>
        <v>19610</v>
      </c>
      <c r="H35" s="39">
        <f t="shared" si="5"/>
        <v>19100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>
        <f>VLOOKUP(D36,ПГ!$G$7:$I$21,2,TRUE)</f>
        <v>21820</v>
      </c>
      <c r="G36" s="39">
        <f t="shared" si="4"/>
        <v>21270</v>
      </c>
      <c r="H36" s="39">
        <f t="shared" si="5"/>
        <v>20730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>
        <f>VLOOKUP(D37,ПГ!$G$7:$I$21,2,TRUE)</f>
        <v>7670</v>
      </c>
      <c r="G37" s="32">
        <f t="shared" si="4"/>
        <v>7480</v>
      </c>
      <c r="H37" s="32">
        <f t="shared" si="5"/>
        <v>7290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>
        <f>VLOOKUP(D38,ПГ!$G$7:$I$21,2,TRUE)</f>
        <v>20700</v>
      </c>
      <c r="G38" s="32">
        <f t="shared" si="4"/>
        <v>20180</v>
      </c>
      <c r="H38" s="32">
        <f t="shared" si="5"/>
        <v>19670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>
        <f>VLOOKUP(D41,ПГ!$G$7:$I$21,3,TRUE)+VLOOKUP(D41,ПГ!$G$7:$I$21,2,TRUE)</f>
        <v>13740</v>
      </c>
      <c r="G41" s="53">
        <f aca="true" t="shared" si="6" ref="G41:G46">ROUND(F41*0.975,-1)</f>
        <v>13400</v>
      </c>
      <c r="H41" s="53">
        <f aca="true" t="shared" si="7" ref="H41:H46">ROUND(F41*0.95,-1)</f>
        <v>13050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>
        <f>VLOOKUP(D42,ПГ!$G$7:$I$21,2,TRUE)</f>
        <v>12140</v>
      </c>
      <c r="G42" s="39">
        <f t="shared" si="6"/>
        <v>11840</v>
      </c>
      <c r="H42" s="39">
        <f t="shared" si="7"/>
        <v>11530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>
        <f>VLOOKUP(D43,ПГ!$G$7:$I$21,2,TRUE)</f>
        <v>20110</v>
      </c>
      <c r="G43" s="39">
        <f t="shared" si="6"/>
        <v>19610</v>
      </c>
      <c r="H43" s="39">
        <f t="shared" si="7"/>
        <v>19100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>
        <f>VLOOKUP(D44,ПГ!$G$7:$I$21,2,TRUE)</f>
        <v>21820</v>
      </c>
      <c r="G44" s="39">
        <f t="shared" si="6"/>
        <v>21270</v>
      </c>
      <c r="H44" s="39">
        <f t="shared" si="7"/>
        <v>20730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>
        <f>VLOOKUP(D45,ПГ!$G$7:$I$21,2,TRUE)</f>
        <v>7670</v>
      </c>
      <c r="G45" s="32">
        <f t="shared" si="6"/>
        <v>7480</v>
      </c>
      <c r="H45" s="32">
        <f t="shared" si="7"/>
        <v>7290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>
        <f>VLOOKUP(D46,ПГ!$G$7:$I$21,2,TRUE)</f>
        <v>20700</v>
      </c>
      <c r="G46" s="32">
        <f t="shared" si="6"/>
        <v>20180</v>
      </c>
      <c r="H46" s="32">
        <f t="shared" si="7"/>
        <v>19670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>
        <f>VLOOKUP(D49,ПГ!$G$7:$I$21,3,TRUE)+VLOOKUP(D49,ПГ!$G$7:$I$21,2,TRUE)</f>
        <v>14480</v>
      </c>
      <c r="G49" s="53">
        <f>ROUND(F49*0.975,-1)</f>
        <v>14120</v>
      </c>
      <c r="H49" s="53">
        <f>ROUND(F49*0.95,-1)</f>
        <v>13760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>
        <f>VLOOKUP(D50,ПГ!$G$7:$I$21,2,TRUE)</f>
        <v>20110</v>
      </c>
      <c r="G50" s="39">
        <f>ROUND(F50*0.975,-1)</f>
        <v>19610</v>
      </c>
      <c r="H50" s="39">
        <f>ROUND(F50*0.95,-1)</f>
        <v>19100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>
        <f>VLOOKUP(D51,ПГ!$G$7:$I$21,2,TRUE)</f>
        <v>21820</v>
      </c>
      <c r="G51" s="39">
        <f>ROUND(F51*0.975,-1)</f>
        <v>21270</v>
      </c>
      <c r="H51" s="39">
        <f>ROUND(F51*0.95,-1)</f>
        <v>20730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>
        <f>VLOOKUP(D52,ПГ!$G$7:$I$21,2,TRUE)</f>
        <v>7670</v>
      </c>
      <c r="G52" s="32">
        <f>ROUND(F52*0.975,-1)</f>
        <v>7480</v>
      </c>
      <c r="H52" s="32">
        <f>ROUND(F52*0.95,-1)</f>
        <v>7290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>
        <f>VLOOKUP(D53,ПГ!$G$7:$I$21,2,TRUE)</f>
        <v>20700</v>
      </c>
      <c r="G53" s="32">
        <f>ROUND(F53*0.975,-1)</f>
        <v>20180</v>
      </c>
      <c r="H53" s="32">
        <f>ROUND(F53*0.95,-1)</f>
        <v>19670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>
        <f>VLOOKUP(D56,ПГ!$G$7:$I$21,3,TRUE)+VLOOKUP(D56,ПГ!$G$7:$I$21,2,TRUE)</f>
        <v>22450</v>
      </c>
      <c r="G56" s="53">
        <f>ROUND(F56*0.975,-1)</f>
        <v>21890</v>
      </c>
      <c r="H56" s="53">
        <f>ROUND(F56*0.95,-1)</f>
        <v>21330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>
        <f>VLOOKUP(D57,ПГ!$G$7:$I$21,2,TRUE)</f>
        <v>21820</v>
      </c>
      <c r="G57" s="39">
        <f>ROUND(F57*0.975,-1)</f>
        <v>21270</v>
      </c>
      <c r="H57" s="39">
        <f>ROUND(F57*0.95,-1)</f>
        <v>20730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>
        <f>VLOOKUP(D58,ПГ!$G$7:$I$21,2,TRUE)</f>
        <v>7670</v>
      </c>
      <c r="G58" s="32">
        <f>ROUND(F58*0.975,-1)</f>
        <v>7480</v>
      </c>
      <c r="H58" s="32">
        <f>ROUND(F58*0.95,-1)</f>
        <v>7290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>
        <f>VLOOKUP(D59,ПГ!$G$7:$I$21,2,TRUE)</f>
        <v>20700</v>
      </c>
      <c r="G59" s="32">
        <f>ROUND(F59*0.975,-1)</f>
        <v>20180</v>
      </c>
      <c r="H59" s="32">
        <f>ROUND(F59*0.95,-1)</f>
        <v>19670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>
        <f>VLOOKUP(D62,ПГ!$G$7:$I$21,3,TRUE)+VLOOKUP(D62,ПГ!$G$7:$I$21,2,TRUE)</f>
        <v>24050</v>
      </c>
      <c r="G62" s="53">
        <f>ROUND(F62*0.975,-1)</f>
        <v>23450</v>
      </c>
      <c r="H62" s="53">
        <f>ROUND(F62*0.95,-1)</f>
        <v>22850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>
        <f>VLOOKUP(D63,ПГ!$G$7:$I$21,2,TRUE)</f>
        <v>7670</v>
      </c>
      <c r="G63" s="32">
        <f>ROUND(F63*0.975,-1)</f>
        <v>7480</v>
      </c>
      <c r="H63" s="32">
        <f>ROUND(F63*0.95,-1)</f>
        <v>7290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>
        <f>VLOOKUP(D66,ПГ!$G$7:$I$21,2,TRUE)+ПГ!H20</f>
        <v>13320</v>
      </c>
      <c r="G66" s="42">
        <f>ROUND(F66*0.975,-1)</f>
        <v>12990</v>
      </c>
      <c r="H66" s="42">
        <f>ROUND(F66*0.95,-1)</f>
        <v>12650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1030" t="s">
        <v>82</v>
      </c>
      <c r="B72" s="1030"/>
      <c r="C72" s="1030"/>
      <c r="D72" s="1030"/>
      <c r="E72" s="9" t="s">
        <v>5</v>
      </c>
      <c r="F72" s="1026" t="s">
        <v>6</v>
      </c>
      <c r="G72" s="1026"/>
      <c r="H72" s="1026"/>
    </row>
    <row r="73" spans="1:8" ht="27" customHeight="1" hidden="1" thickBot="1">
      <c r="A73" s="10" t="s">
        <v>7</v>
      </c>
      <c r="B73" s="1027" t="s">
        <v>0</v>
      </c>
      <c r="C73" s="1028" t="s">
        <v>1</v>
      </c>
      <c r="D73" s="1028" t="s">
        <v>2</v>
      </c>
      <c r="E73" s="1028" t="s">
        <v>3</v>
      </c>
      <c r="F73" s="1029" t="s">
        <v>8</v>
      </c>
      <c r="G73" s="1029"/>
      <c r="H73" s="1029"/>
    </row>
    <row r="74" spans="1:8" ht="13.5" hidden="1" thickBot="1">
      <c r="A74" s="12"/>
      <c r="B74" s="1027"/>
      <c r="C74" s="1028" t="s">
        <v>9</v>
      </c>
      <c r="D74" s="1028"/>
      <c r="E74" s="1028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26.2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>
        <f>VLOOKUP(D76,ПГ!$G$7:$I$21,3,TRUE)+VLOOKUP(D76,ПГ!$G$7:$I$21,2,TRUE)</f>
        <v>11150</v>
      </c>
      <c r="G76" s="22">
        <f t="shared" si="8"/>
        <v>10870</v>
      </c>
      <c r="H76" s="22">
        <f t="shared" si="9"/>
        <v>10590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>
        <f>VLOOKUP(D77,ПГ!$G$7:$I$21,3,TRUE)+VLOOKUP(D77,ПГ!$G$7:$I$21,2,TRUE)</f>
        <v>12820</v>
      </c>
      <c r="G77" s="53">
        <f t="shared" si="8"/>
        <v>12500</v>
      </c>
      <c r="H77" s="53">
        <f t="shared" si="9"/>
        <v>12180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>
        <f>VLOOKUP(D78,ПГ!$G$7:$I$21,3,TRUE)+VLOOKUP(D78,ПГ!$G$7:$I$21,2,TRUE)</f>
        <v>12820</v>
      </c>
      <c r="G78" s="53">
        <f t="shared" si="8"/>
        <v>12500</v>
      </c>
      <c r="H78" s="53">
        <f t="shared" si="9"/>
        <v>12180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>
        <f>VLOOKUP(D79,ПГ!$G$7:$I$21,3,TRUE)+VLOOKUP(D79,ПГ!$G$7:$I$21,2,TRUE)</f>
        <v>13740</v>
      </c>
      <c r="G79" s="53">
        <f t="shared" si="8"/>
        <v>13400</v>
      </c>
      <c r="H79" s="53">
        <f t="shared" si="9"/>
        <v>13050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>
        <f>VLOOKUP(D80,ПГ!$G$7:$I$21,3,TRUE)+VLOOKUP(D80,ПГ!$G$7:$I$21,2,TRUE)</f>
        <v>14480</v>
      </c>
      <c r="G80" s="53">
        <f t="shared" si="8"/>
        <v>14120</v>
      </c>
      <c r="H80" s="53">
        <f t="shared" si="9"/>
        <v>13760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>
        <f>VLOOKUP(D81,ПГ!$G$7:$I$21,3,TRUE)+VLOOKUP(D81,ПГ!$G$7:$I$21,2,TRUE)</f>
        <v>22450</v>
      </c>
      <c r="G81" s="53">
        <f t="shared" si="8"/>
        <v>21890</v>
      </c>
      <c r="H81" s="53">
        <f t="shared" si="9"/>
        <v>21330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1030" t="s">
        <v>94</v>
      </c>
      <c r="B88" s="1030"/>
      <c r="C88" s="1030"/>
      <c r="D88" s="1030"/>
      <c r="E88" s="9" t="s">
        <v>5</v>
      </c>
      <c r="F88" s="1026" t="s">
        <v>95</v>
      </c>
      <c r="G88" s="1026"/>
      <c r="H88" s="1026"/>
    </row>
    <row r="89" spans="1:8" ht="27.75" customHeight="1" hidden="1" thickBot="1">
      <c r="A89" s="10" t="s">
        <v>7</v>
      </c>
      <c r="B89" s="1027" t="s">
        <v>0</v>
      </c>
      <c r="C89" s="1028" t="s">
        <v>1</v>
      </c>
      <c r="D89" s="1028" t="s">
        <v>2</v>
      </c>
      <c r="E89" s="1028" t="s">
        <v>3</v>
      </c>
      <c r="F89" s="1029" t="s">
        <v>8</v>
      </c>
      <c r="G89" s="1029"/>
      <c r="H89" s="1029"/>
    </row>
    <row r="90" spans="1:8" ht="13.5" hidden="1" thickBot="1">
      <c r="A90" s="12"/>
      <c r="B90" s="1027"/>
      <c r="C90" s="1028" t="s">
        <v>9</v>
      </c>
      <c r="D90" s="1028"/>
      <c r="E90" s="1028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 t="e">
        <f>VLOOKUP(D97,ПГ!$L$7:$N$21,3,TRUE)+VLOOKUP(D97,ПГ!$L$7:$N$21,2,TRUE)</f>
        <v>#VALUE!</v>
      </c>
      <c r="G97" s="74" t="e">
        <f t="shared" si="11"/>
        <v>#VALUE!</v>
      </c>
      <c r="H97" s="74" t="e">
        <f t="shared" si="12"/>
        <v>#VALUE!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24050</v>
      </c>
      <c r="G98" s="42">
        <f t="shared" si="11"/>
        <v>23450</v>
      </c>
      <c r="H98" s="42">
        <f t="shared" si="12"/>
        <v>22850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1031" t="s">
        <v>121</v>
      </c>
      <c r="B105" s="1031"/>
      <c r="C105" s="1031"/>
      <c r="D105" s="1031"/>
      <c r="E105" s="9" t="s">
        <v>5</v>
      </c>
      <c r="F105" s="1026" t="s">
        <v>122</v>
      </c>
      <c r="G105" s="1026"/>
      <c r="H105" s="1026"/>
    </row>
    <row r="106" spans="1:8" ht="24.75" customHeight="1" hidden="1" thickBot="1">
      <c r="A106" s="10" t="s">
        <v>7</v>
      </c>
      <c r="B106" s="1027" t="s">
        <v>0</v>
      </c>
      <c r="C106" s="1028" t="s">
        <v>1</v>
      </c>
      <c r="D106" s="1028" t="s">
        <v>2</v>
      </c>
      <c r="E106" s="1028" t="s">
        <v>3</v>
      </c>
      <c r="F106" s="1029" t="s">
        <v>8</v>
      </c>
      <c r="G106" s="1029"/>
      <c r="H106" s="1029"/>
    </row>
    <row r="107" spans="1:8" ht="13.5" hidden="1" thickBot="1">
      <c r="A107" s="12"/>
      <c r="B107" s="1027"/>
      <c r="C107" s="1028" t="s">
        <v>9</v>
      </c>
      <c r="D107" s="1028"/>
      <c r="E107" s="1028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15110</v>
      </c>
      <c r="G108" s="42">
        <f>ROUND(F108*0.975,-1)</f>
        <v>14730</v>
      </c>
      <c r="H108" s="42">
        <f>ROUND(F108*0.95,-1)</f>
        <v>14350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8960</v>
      </c>
      <c r="G109" s="32">
        <f>ROUND(F109*0.975,-1)</f>
        <v>8740</v>
      </c>
      <c r="H109" s="32">
        <f>ROUND(F109*0.95,-1)</f>
        <v>8510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11580</v>
      </c>
      <c r="G110" s="39">
        <f>ROUND(F110*0.975,-1)</f>
        <v>11290</v>
      </c>
      <c r="H110" s="39">
        <f>ROUND(F110*0.95,-1)</f>
        <v>11000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11580</v>
      </c>
      <c r="G111" s="39">
        <f>ROUND(F111*0.975,-1)</f>
        <v>11290</v>
      </c>
      <c r="H111" s="39">
        <f>ROUND(F111*0.95,-1)</f>
        <v>11000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12730</v>
      </c>
      <c r="G112" s="39">
        <f>ROUND(F112*0.975,-1)</f>
        <v>12410</v>
      </c>
      <c r="H112" s="39">
        <f>ROUND(F112*0.95,-1)</f>
        <v>12090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13510</v>
      </c>
      <c r="G115" s="42">
        <f>ROUND(F115*0.975,-1)</f>
        <v>13170</v>
      </c>
      <c r="H115" s="42">
        <f>ROUND(F115*0.95,-1)</f>
        <v>12830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11580</v>
      </c>
      <c r="G116" s="39">
        <f>ROUND(F116*0.975,-1)</f>
        <v>11290</v>
      </c>
      <c r="H116" s="39">
        <f>ROUND(F116*0.95,-1)</f>
        <v>11000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11580</v>
      </c>
      <c r="G117" s="39">
        <f>ROUND(F117*0.975,-1)</f>
        <v>11290</v>
      </c>
      <c r="H117" s="39">
        <f>ROUND(F117*0.95,-1)</f>
        <v>11000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12730</v>
      </c>
      <c r="G118" s="39">
        <f>ROUND(F118*0.975,-1)</f>
        <v>12410</v>
      </c>
      <c r="H118" s="39">
        <f>ROUND(F118*0.95,-1)</f>
        <v>12090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16130</v>
      </c>
      <c r="G121" s="42">
        <f>ROUND(F121*0.975,-1)</f>
        <v>15730</v>
      </c>
      <c r="H121" s="42">
        <f>ROUND(F121*0.95,-1)</f>
        <v>15320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16130</v>
      </c>
      <c r="G122" s="42">
        <f>ROUND(F122*0.975,-1)</f>
        <v>15730</v>
      </c>
      <c r="H122" s="42">
        <f>ROUND(F122*0.95,-1)</f>
        <v>15320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17050</v>
      </c>
      <c r="G123" s="42">
        <f>ROUND(F123*0.975,-1)</f>
        <v>16620</v>
      </c>
      <c r="H123" s="42">
        <f>ROUND(F123*0.95,-1)</f>
        <v>16200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 t="e">
        <f>VLOOKUP(D124,ПГ!$L$7:$N$21,3,TRUE)+VLOOKUP(D124,ПГ!$L$7:$N$21,2,TRUE)+ПГ!$M$22</f>
        <v>#VALUE!</v>
      </c>
      <c r="G124" s="42" t="e">
        <f>ROUND(F124*0.975,-1)</f>
        <v>#VALUE!</v>
      </c>
      <c r="H124" s="42" t="e">
        <f>ROUND(F124*0.95,-1)</f>
        <v>#VALUE!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570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1032" t="s">
        <v>135</v>
      </c>
      <c r="B133" s="1032"/>
      <c r="C133" s="1032"/>
      <c r="D133" s="1032"/>
      <c r="E133" s="87" t="s">
        <v>136</v>
      </c>
      <c r="F133" s="1033" t="s">
        <v>137</v>
      </c>
      <c r="G133" s="1033"/>
      <c r="H133" s="1033"/>
    </row>
    <row r="134" spans="1:8" ht="33" customHeight="1" hidden="1" thickBot="1">
      <c r="A134" s="10" t="s">
        <v>7</v>
      </c>
      <c r="B134" s="1027" t="s">
        <v>0</v>
      </c>
      <c r="C134" s="1028" t="s">
        <v>1</v>
      </c>
      <c r="D134" s="1028" t="s">
        <v>2</v>
      </c>
      <c r="E134" s="1028" t="s">
        <v>3</v>
      </c>
      <c r="F134" s="1029" t="s">
        <v>8</v>
      </c>
      <c r="G134" s="1029"/>
      <c r="H134" s="1029"/>
    </row>
    <row r="135" spans="1:8" ht="18.75" customHeight="1" hidden="1" thickBot="1">
      <c r="A135" s="12"/>
      <c r="B135" s="1027"/>
      <c r="C135" s="1028" t="s">
        <v>9</v>
      </c>
      <c r="D135" s="1028"/>
      <c r="E135" s="1028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1950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1950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1950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1950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1950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569"/>
      <c r="G180" s="3"/>
      <c r="H180" s="3"/>
    </row>
    <row r="181" spans="1:8" ht="15.75" hidden="1">
      <c r="A181" s="137"/>
      <c r="B181" s="138"/>
      <c r="C181" s="138"/>
      <c r="D181" s="138"/>
      <c r="E181" s="3"/>
      <c r="F181" s="569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569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569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569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569"/>
      <c r="G185" s="3"/>
      <c r="H185" s="3"/>
    </row>
    <row r="186" spans="1:8" ht="12.75" customHeight="1" hidden="1" thickBot="1">
      <c r="A186" s="1034" t="s">
        <v>189</v>
      </c>
      <c r="B186" s="1034"/>
      <c r="C186" s="1034"/>
      <c r="D186" s="1034"/>
      <c r="E186" s="1033" t="s">
        <v>190</v>
      </c>
      <c r="F186" s="1033"/>
      <c r="G186" s="1033"/>
      <c r="H186" s="1033"/>
    </row>
    <row r="187" spans="1:8" ht="39.75" customHeight="1" hidden="1" thickBot="1">
      <c r="A187" s="141" t="s">
        <v>7</v>
      </c>
      <c r="B187" s="1035" t="s">
        <v>0</v>
      </c>
      <c r="C187" s="1036" t="s">
        <v>1</v>
      </c>
      <c r="D187" s="1036" t="s">
        <v>2</v>
      </c>
      <c r="E187" s="1028" t="s">
        <v>3</v>
      </c>
      <c r="F187" s="1029" t="s">
        <v>8</v>
      </c>
      <c r="G187" s="1029"/>
      <c r="H187" s="1029"/>
    </row>
    <row r="188" spans="1:8" ht="24.75" customHeight="1" hidden="1" thickBot="1">
      <c r="A188" s="142"/>
      <c r="B188" s="1035"/>
      <c r="C188" s="1036" t="s">
        <v>9</v>
      </c>
      <c r="D188" s="1036"/>
      <c r="E188" s="1028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26.2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26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1950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7.7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1950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1950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7.7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1950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1950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1950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7.7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1950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7.7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1950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1950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1950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1950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1950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569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1032" t="s">
        <v>231</v>
      </c>
      <c r="B269" s="1032"/>
      <c r="C269" s="1032"/>
      <c r="D269" s="1032"/>
      <c r="E269" s="1033" t="s">
        <v>232</v>
      </c>
      <c r="F269" s="1033"/>
      <c r="G269" s="1033"/>
      <c r="H269" s="1033"/>
    </row>
    <row r="270" spans="1:8" ht="32.25" customHeight="1" hidden="1" thickBot="1">
      <c r="A270" s="10" t="s">
        <v>7</v>
      </c>
      <c r="B270" s="1027" t="s">
        <v>0</v>
      </c>
      <c r="C270" s="1028" t="s">
        <v>1</v>
      </c>
      <c r="D270" s="1028" t="s">
        <v>2</v>
      </c>
      <c r="E270" s="1028" t="s">
        <v>3</v>
      </c>
      <c r="F270" s="1029" t="s">
        <v>8</v>
      </c>
      <c r="G270" s="1029"/>
      <c r="H270" s="1029"/>
    </row>
    <row r="271" spans="1:8" ht="28.5" customHeight="1" hidden="1" thickBot="1">
      <c r="A271" s="12"/>
      <c r="B271" s="1027"/>
      <c r="C271" s="1028" t="s">
        <v>9</v>
      </c>
      <c r="D271" s="1028"/>
      <c r="E271" s="1028"/>
      <c r="F271" s="13" t="s">
        <v>10</v>
      </c>
      <c r="G271" s="14" t="s">
        <v>11</v>
      </c>
      <c r="H271" s="15" t="s">
        <v>12</v>
      </c>
    </row>
    <row r="272" spans="1:8" ht="77.25" hidden="1" thickBot="1">
      <c r="A272" s="23"/>
      <c r="B272" s="40" t="s">
        <v>235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9" ht="24.75" customHeight="1" thickBot="1">
      <c r="A275" s="1030" t="s">
        <v>236</v>
      </c>
      <c r="B275" s="1030"/>
      <c r="C275" s="1030"/>
      <c r="D275" s="1030"/>
      <c r="E275" s="1033" t="s">
        <v>515</v>
      </c>
      <c r="F275" s="1033"/>
      <c r="G275" s="1033"/>
      <c r="H275" s="1033"/>
      <c r="I275" s="3" t="s">
        <v>316</v>
      </c>
    </row>
    <row r="276" spans="1:8" ht="24" customHeight="1" thickBot="1">
      <c r="A276" s="10" t="s">
        <v>7</v>
      </c>
      <c r="B276" s="1027" t="s">
        <v>0</v>
      </c>
      <c r="C276" s="1028" t="s">
        <v>1</v>
      </c>
      <c r="D276" s="1028" t="s">
        <v>2</v>
      </c>
      <c r="E276" s="1028" t="s">
        <v>3</v>
      </c>
      <c r="F276" s="1029" t="s">
        <v>8</v>
      </c>
      <c r="G276" s="1029"/>
      <c r="H276" s="1029"/>
    </row>
    <row r="277" spans="1:8" ht="19.5" customHeight="1">
      <c r="A277" s="12"/>
      <c r="B277" s="1027"/>
      <c r="C277" s="1028" t="s">
        <v>9</v>
      </c>
      <c r="D277" s="1028"/>
      <c r="E277" s="1028"/>
      <c r="F277" s="13" t="s">
        <v>10</v>
      </c>
      <c r="G277" s="14" t="s">
        <v>237</v>
      </c>
      <c r="H277" s="15" t="s">
        <v>238</v>
      </c>
    </row>
    <row r="278" spans="1:17" ht="24.75" customHeight="1">
      <c r="A278" s="174">
        <f>1</f>
        <v>1</v>
      </c>
      <c r="B278" s="175" t="s">
        <v>239</v>
      </c>
      <c r="C278" s="169">
        <v>1</v>
      </c>
      <c r="D278" s="169" t="s">
        <v>215</v>
      </c>
      <c r="E278" s="169"/>
      <c r="F278" s="176">
        <f>VLOOKUP(D278,СГИ!$H$13:$I$16,2,TRUE)</f>
        <v>96100</v>
      </c>
      <c r="G278" s="94">
        <f>ROUND(F278*0.975,-1)</f>
        <v>93700</v>
      </c>
      <c r="H278" s="94">
        <f>ROUND(F278*0.95,-1)</f>
        <v>91300</v>
      </c>
      <c r="Q278" s="3" t="s">
        <v>316</v>
      </c>
    </row>
    <row r="279" spans="1:8" ht="13.5">
      <c r="A279" s="174">
        <f>A278+1</f>
        <v>2</v>
      </c>
      <c r="B279" s="177" t="s">
        <v>240</v>
      </c>
      <c r="C279" s="169">
        <v>2</v>
      </c>
      <c r="D279" s="169" t="s">
        <v>241</v>
      </c>
      <c r="E279" s="169"/>
      <c r="F279" s="176">
        <f>VLOOKUP(D279,СГИ!$H$13:$I$16,2,TRUE)</f>
        <v>187380</v>
      </c>
      <c r="G279" s="94">
        <f>ROUND(F279*0.975,-1)</f>
        <v>182700</v>
      </c>
      <c r="H279" s="94">
        <f>ROUND(F279*0.95,-1)</f>
        <v>178010</v>
      </c>
    </row>
    <row r="280" spans="1:8" ht="13.5">
      <c r="A280" s="174">
        <f>A279+1</f>
        <v>3</v>
      </c>
      <c r="B280" s="177" t="s">
        <v>242</v>
      </c>
      <c r="C280" s="169">
        <v>3</v>
      </c>
      <c r="D280" s="169" t="s">
        <v>243</v>
      </c>
      <c r="E280" s="169"/>
      <c r="F280" s="176">
        <f>VLOOKUP(D280,СГИ!$H$13:$I$16,2,TRUE)</f>
        <v>216220</v>
      </c>
      <c r="G280" s="94">
        <f>ROUND(F280*0.975,-1)</f>
        <v>210810</v>
      </c>
      <c r="H280" s="94">
        <f>ROUND(F280*0.95,-1)</f>
        <v>205410</v>
      </c>
    </row>
    <row r="281" spans="1:8" ht="13.5">
      <c r="A281" s="174">
        <f>A280+1</f>
        <v>4</v>
      </c>
      <c r="B281" s="177" t="s">
        <v>244</v>
      </c>
      <c r="C281" s="169" t="s">
        <v>18</v>
      </c>
      <c r="D281" s="169" t="s">
        <v>245</v>
      </c>
      <c r="E281" s="169"/>
      <c r="F281" s="176">
        <f>VLOOKUP(D281,СГИ!$H$13:$I$16,2,TRUE)</f>
        <v>156160</v>
      </c>
      <c r="G281" s="94">
        <f>ROUND(F281*0.975,-1)</f>
        <v>152260</v>
      </c>
      <c r="H281" s="94">
        <f>ROUND(F281*0.95,-1)</f>
        <v>148350</v>
      </c>
    </row>
    <row r="282" spans="1:8" ht="12.75">
      <c r="A282" s="43"/>
      <c r="B282" s="88"/>
      <c r="C282" s="89"/>
      <c r="D282" s="90"/>
      <c r="E282" s="47"/>
      <c r="F282" s="48"/>
      <c r="G282" s="49"/>
      <c r="H282" s="49"/>
    </row>
    <row r="283" spans="4:17" ht="12.75">
      <c r="D283" s="1" t="s">
        <v>316</v>
      </c>
      <c r="E283" s="1"/>
      <c r="Q283" s="3" t="s">
        <v>316</v>
      </c>
    </row>
    <row r="284" spans="1:8" ht="24.75" customHeight="1" thickBot="1">
      <c r="A284" s="1030" t="s">
        <v>246</v>
      </c>
      <c r="B284" s="1030"/>
      <c r="C284" s="1030"/>
      <c r="D284" s="1030"/>
      <c r="E284" s="1033"/>
      <c r="F284" s="1033"/>
      <c r="G284" s="1033"/>
      <c r="H284" s="1033"/>
    </row>
    <row r="285" spans="1:8" ht="24.75" customHeight="1" thickBot="1">
      <c r="A285" s="10" t="s">
        <v>7</v>
      </c>
      <c r="B285" s="1027" t="s">
        <v>0</v>
      </c>
      <c r="C285" s="1037"/>
      <c r="D285" s="1038"/>
      <c r="E285" s="1039"/>
      <c r="F285" s="1029" t="s">
        <v>8</v>
      </c>
      <c r="G285" s="1029"/>
      <c r="H285" s="1029"/>
    </row>
    <row r="286" spans="1:18" ht="18" customHeight="1" thickBot="1">
      <c r="A286" s="12"/>
      <c r="B286" s="1027"/>
      <c r="C286" s="1040"/>
      <c r="D286" s="1041"/>
      <c r="E286" s="1042"/>
      <c r="F286" s="13" t="s">
        <v>10</v>
      </c>
      <c r="G286" s="14" t="s">
        <v>11</v>
      </c>
      <c r="H286" s="15" t="s">
        <v>12</v>
      </c>
      <c r="R286" s="3" t="s">
        <v>316</v>
      </c>
    </row>
    <row r="287" spans="1:8" ht="26.25" thickBot="1">
      <c r="A287" s="174">
        <f>A281+1</f>
        <v>5</v>
      </c>
      <c r="B287" s="50" t="str">
        <f>СГИ!$H18</f>
        <v>Анализатор остаточного активного хлора в воде ВАКХ-2000</v>
      </c>
      <c r="C287" s="1021"/>
      <c r="D287" s="1045"/>
      <c r="E287" s="1022"/>
      <c r="F287" s="178">
        <f>VLOOKUP(B287,СГИ!$H$18:$I$24,2,TRUE)</f>
        <v>41710</v>
      </c>
      <c r="G287" s="94">
        <f aca="true" t="shared" si="16" ref="G287:G292">ROUND(F287*0.975,-1)</f>
        <v>40670</v>
      </c>
      <c r="H287" s="94">
        <f aca="true" t="shared" si="17" ref="H287:H292">ROUND(F287*0.95,-1)</f>
        <v>39620</v>
      </c>
    </row>
    <row r="288" spans="1:8" ht="51.75" thickBot="1">
      <c r="A288" s="174">
        <f>A287+1</f>
        <v>6</v>
      </c>
      <c r="B288" s="50" t="str">
        <f>СГИ!$H19</f>
        <v>Анализатор остаточного активного хлора в воде ВАКХ-2000С, стационарный, лабораторный, полуавтоматический</v>
      </c>
      <c r="C288" s="1021"/>
      <c r="D288" s="1045"/>
      <c r="E288" s="1022"/>
      <c r="F288" s="178">
        <f>VLOOKUP(B288,СГИ!$H$18:$I$24,2,TRUE)</f>
        <v>53450</v>
      </c>
      <c r="G288" s="94">
        <f t="shared" si="16"/>
        <v>52110</v>
      </c>
      <c r="H288" s="94">
        <f t="shared" si="17"/>
        <v>50780</v>
      </c>
    </row>
    <row r="289" spans="1:8" ht="60.75" customHeight="1" thickBot="1">
      <c r="A289" s="174">
        <f>A288+1</f>
        <v>7</v>
      </c>
      <c r="B289" s="50" t="str">
        <f>СГИ!$H20</f>
        <v>Анализатор остаточного активного хлора в воде ВАКХ-2000С, стационарный, проточный, автоматический</v>
      </c>
      <c r="C289" s="1021" t="s">
        <v>803</v>
      </c>
      <c r="D289" s="1045"/>
      <c r="E289" s="1022"/>
      <c r="F289" s="178">
        <f>VLOOKUP(B289,СГИ!$H$18:$I$24,2,TRUE)</f>
        <v>107570</v>
      </c>
      <c r="G289" s="94">
        <f t="shared" si="16"/>
        <v>104880</v>
      </c>
      <c r="H289" s="94">
        <f t="shared" si="17"/>
        <v>102190</v>
      </c>
    </row>
    <row r="290" spans="1:9" ht="51.75" thickBot="1">
      <c r="A290" s="174">
        <f>A289+1</f>
        <v>8</v>
      </c>
      <c r="B290" s="50" t="str">
        <f>СГИ!$H22</f>
        <v>Анализатор элементного состава "ТОПАЗ-C" с управляющим компьютером и устройством подачи чистого воздуха</v>
      </c>
      <c r="C290" s="1021"/>
      <c r="D290" s="1045"/>
      <c r="E290" s="1022"/>
      <c r="F290" s="178">
        <f>VLOOKUP(B290,СГИ!$H$18:$I$24,2,TRUE)</f>
        <v>612490</v>
      </c>
      <c r="G290" s="94">
        <f t="shared" si="16"/>
        <v>597180</v>
      </c>
      <c r="H290" s="94">
        <f t="shared" si="17"/>
        <v>581870</v>
      </c>
      <c r="I290" s="573" t="s">
        <v>316</v>
      </c>
    </row>
    <row r="291" spans="1:9" ht="51.75" thickBot="1">
      <c r="A291" s="174">
        <f>A290+1</f>
        <v>9</v>
      </c>
      <c r="B291" s="50" t="str">
        <f>СГИ!$H23</f>
        <v>Анализатор элементного состава "ТОПАЗ-N" с управляющим компьютером и устройством подачи чистого воздуха</v>
      </c>
      <c r="C291" s="1021"/>
      <c r="D291" s="1045"/>
      <c r="E291" s="1022"/>
      <c r="F291" s="178">
        <f>VLOOKUP(B291,СГИ!$H$18:$I$24,2,TRUE)</f>
        <v>637220</v>
      </c>
      <c r="G291" s="94">
        <f t="shared" si="16"/>
        <v>621290</v>
      </c>
      <c r="H291" s="94">
        <f t="shared" si="17"/>
        <v>605360</v>
      </c>
      <c r="I291" s="573">
        <f ca="1">IF(TODAY()&lt;42736,"цена снижена на 20% до января 2017 года, дополнительные скидки не предусмотрены","")</f>
      </c>
    </row>
    <row r="292" spans="1:9" ht="49.5" customHeight="1" thickBot="1">
      <c r="A292" s="174">
        <f>A291+1</f>
        <v>10</v>
      </c>
      <c r="B292" s="50" t="str">
        <f>СГИ!$H24</f>
        <v>Анализатор элементного состава "ТОПАЗ-NC" с управляющим компьютером и устройством подачи чистого воздуха</v>
      </c>
      <c r="C292" s="1021"/>
      <c r="D292" s="1045"/>
      <c r="E292" s="1022"/>
      <c r="F292" s="178">
        <f>VLOOKUP(B292,СГИ!$H$18:$I$24,2,TRUE)</f>
        <v>797480</v>
      </c>
      <c r="G292" s="94">
        <f t="shared" si="16"/>
        <v>777540</v>
      </c>
      <c r="H292" s="94">
        <f t="shared" si="17"/>
        <v>757610</v>
      </c>
      <c r="I292" s="573">
        <f ca="1">IF(TODAY()&lt;42736,"цена снижена на 20% до января 2017 года, дополнительные скидки не предусмотрены","")</f>
      </c>
    </row>
    <row r="293" ht="19.5" customHeight="1" thickBot="1">
      <c r="A293" s="179"/>
    </row>
    <row r="294" spans="1:8" ht="21" customHeight="1">
      <c r="A294" s="1030" t="s">
        <v>249</v>
      </c>
      <c r="B294" s="1030"/>
      <c r="C294" s="1030"/>
      <c r="D294" s="1030"/>
      <c r="E294" s="1033"/>
      <c r="F294" s="1033"/>
      <c r="G294" s="1033"/>
      <c r="H294" s="1033"/>
    </row>
    <row r="295" spans="1:8" ht="24.75" customHeight="1">
      <c r="A295" s="10" t="s">
        <v>7</v>
      </c>
      <c r="B295" s="1027" t="s">
        <v>0</v>
      </c>
      <c r="C295" s="1028" t="s">
        <v>1</v>
      </c>
      <c r="D295" s="1028" t="s">
        <v>2</v>
      </c>
      <c r="E295" s="1028" t="s">
        <v>3</v>
      </c>
      <c r="F295" s="1029" t="s">
        <v>8</v>
      </c>
      <c r="G295" s="1029"/>
      <c r="H295" s="1029"/>
    </row>
    <row r="296" spans="1:8" ht="13.5" thickBot="1">
      <c r="A296" s="12"/>
      <c r="B296" s="1027"/>
      <c r="C296" s="1028" t="s">
        <v>9</v>
      </c>
      <c r="D296" s="1028"/>
      <c r="E296" s="1028"/>
      <c r="F296" s="13" t="s">
        <v>10</v>
      </c>
      <c r="G296" s="14" t="s">
        <v>11</v>
      </c>
      <c r="H296" s="15" t="s">
        <v>12</v>
      </c>
    </row>
    <row r="297" spans="1:8" ht="26.25" thickBot="1">
      <c r="A297" s="174"/>
      <c r="B297" s="181" t="s">
        <v>488</v>
      </c>
      <c r="C297" s="182">
        <v>2</v>
      </c>
      <c r="D297" s="174"/>
      <c r="E297" s="91" t="s">
        <v>251</v>
      </c>
      <c r="F297" s="183">
        <f>VLOOKUP(B297,СГИ!$H$26:$I$35,2,TRUE)</f>
        <v>357340</v>
      </c>
      <c r="G297" s="94">
        <f aca="true" t="shared" si="18" ref="G297:G305">ROUND(F297*0.975,-1)</f>
        <v>348410</v>
      </c>
      <c r="H297" s="94">
        <f>ROUND(F297*0.95,-1)</f>
        <v>339470</v>
      </c>
    </row>
    <row r="298" spans="1:8" ht="26.25" thickBot="1">
      <c r="A298" s="180">
        <f>A292+1</f>
        <v>11</v>
      </c>
      <c r="B298" s="181" t="s">
        <v>250</v>
      </c>
      <c r="C298" s="182">
        <v>2</v>
      </c>
      <c r="D298" s="91"/>
      <c r="E298" s="91" t="s">
        <v>251</v>
      </c>
      <c r="F298" s="183">
        <f>VLOOKUP(B298,СГИ!$H$26:$I$35,2,TRUE)</f>
        <v>314030</v>
      </c>
      <c r="G298" s="94">
        <f t="shared" si="18"/>
        <v>306180</v>
      </c>
      <c r="H298" s="94">
        <f aca="true" t="shared" si="19" ref="H298:H305">ROUND(F298*0.95,-1)</f>
        <v>298330</v>
      </c>
    </row>
    <row r="299" spans="1:8" ht="26.25" thickBot="1">
      <c r="A299" s="180">
        <f aca="true" t="shared" si="20" ref="A299:A305">A298+1</f>
        <v>12</v>
      </c>
      <c r="B299" s="181" t="s">
        <v>252</v>
      </c>
      <c r="C299" s="182">
        <v>2</v>
      </c>
      <c r="D299" s="91"/>
      <c r="E299" s="91" t="s">
        <v>251</v>
      </c>
      <c r="F299" s="183">
        <f>VLOOKUP(B299,СГИ!$H$26:$I$35,2,TRUE)</f>
        <v>270710</v>
      </c>
      <c r="G299" s="94">
        <f t="shared" si="18"/>
        <v>263940</v>
      </c>
      <c r="H299" s="94">
        <f t="shared" si="19"/>
        <v>257170</v>
      </c>
    </row>
    <row r="300" spans="1:8" ht="26.25" thickBot="1">
      <c r="A300" s="180">
        <f t="shared" si="20"/>
        <v>13</v>
      </c>
      <c r="B300" s="181" t="s">
        <v>507</v>
      </c>
      <c r="C300" s="182">
        <v>1</v>
      </c>
      <c r="D300" s="91" t="s">
        <v>48</v>
      </c>
      <c r="E300" s="91" t="s">
        <v>253</v>
      </c>
      <c r="F300" s="183">
        <f>VLOOKUP(B300,СГИ!$H$26:$I$35,2,TRUE)</f>
        <v>604500</v>
      </c>
      <c r="G300" s="94">
        <f t="shared" si="18"/>
        <v>589390</v>
      </c>
      <c r="H300" s="94">
        <f t="shared" si="19"/>
        <v>574280</v>
      </c>
    </row>
    <row r="301" spans="1:8" ht="32.25" thickBot="1">
      <c r="A301" s="180">
        <f t="shared" si="20"/>
        <v>14</v>
      </c>
      <c r="B301" s="181" t="s">
        <v>504</v>
      </c>
      <c r="C301" s="182">
        <v>2</v>
      </c>
      <c r="D301" s="91" t="s">
        <v>505</v>
      </c>
      <c r="E301" s="91" t="s">
        <v>506</v>
      </c>
      <c r="F301" s="183">
        <f>VLOOKUP(B301,СГИ!$H$26:$I$35,2,TRUE)</f>
        <v>794500</v>
      </c>
      <c r="G301" s="94">
        <f t="shared" si="18"/>
        <v>774640</v>
      </c>
      <c r="H301" s="94">
        <f>ROUND(F301*0.95,-1)</f>
        <v>754780</v>
      </c>
    </row>
    <row r="302" spans="1:8" ht="26.25" thickBot="1">
      <c r="A302" s="180">
        <f t="shared" si="20"/>
        <v>15</v>
      </c>
      <c r="B302" s="181" t="s">
        <v>254</v>
      </c>
      <c r="C302" s="182">
        <v>1</v>
      </c>
      <c r="D302" s="91" t="s">
        <v>255</v>
      </c>
      <c r="E302" s="91" t="s">
        <v>256</v>
      </c>
      <c r="F302" s="183">
        <f>VLOOKUP(B302,СГИ!$H$26:$I$35,2,TRUE)</f>
        <v>380130</v>
      </c>
      <c r="G302" s="94">
        <f t="shared" si="18"/>
        <v>370630</v>
      </c>
      <c r="H302" s="94">
        <f t="shared" si="19"/>
        <v>361120</v>
      </c>
    </row>
    <row r="303" spans="1:8" ht="25.5">
      <c r="A303" s="180">
        <f t="shared" si="20"/>
        <v>16</v>
      </c>
      <c r="B303" s="181" t="s">
        <v>257</v>
      </c>
      <c r="C303" s="182">
        <v>1</v>
      </c>
      <c r="D303" s="91" t="s">
        <v>258</v>
      </c>
      <c r="E303" s="91" t="s">
        <v>259</v>
      </c>
      <c r="F303" s="183">
        <f>VLOOKUP(B303,СГИ!$H$26:$I$35,2,TRUE)</f>
        <v>604500</v>
      </c>
      <c r="G303" s="94">
        <f t="shared" si="18"/>
        <v>589390</v>
      </c>
      <c r="H303" s="94">
        <f t="shared" si="19"/>
        <v>574280</v>
      </c>
    </row>
    <row r="304" spans="1:8" ht="25.5">
      <c r="A304" s="180">
        <f t="shared" si="20"/>
        <v>17</v>
      </c>
      <c r="B304" s="181" t="s">
        <v>260</v>
      </c>
      <c r="C304" s="182">
        <v>1</v>
      </c>
      <c r="D304" s="91" t="s">
        <v>117</v>
      </c>
      <c r="E304" s="184" t="s">
        <v>261</v>
      </c>
      <c r="F304" s="183">
        <f>VLOOKUP(B304,СГИ!$H$26:$I$35,2,TRUE)</f>
        <v>928130</v>
      </c>
      <c r="G304" s="94">
        <f t="shared" si="18"/>
        <v>904930</v>
      </c>
      <c r="H304" s="94">
        <f t="shared" si="19"/>
        <v>881720</v>
      </c>
    </row>
    <row r="305" spans="1:8" ht="26.25" thickBot="1">
      <c r="A305" s="180">
        <f t="shared" si="20"/>
        <v>18</v>
      </c>
      <c r="B305" s="181" t="s">
        <v>262</v>
      </c>
      <c r="C305" s="182">
        <v>1</v>
      </c>
      <c r="D305" s="91" t="s">
        <v>263</v>
      </c>
      <c r="E305" s="91" t="s">
        <v>264</v>
      </c>
      <c r="F305" s="183">
        <f>VLOOKUP(B305,СГИ!$H$26:$I$35,2,TRUE)</f>
        <v>577130</v>
      </c>
      <c r="G305" s="94">
        <f t="shared" si="18"/>
        <v>562700</v>
      </c>
      <c r="H305" s="94">
        <f t="shared" si="19"/>
        <v>548270</v>
      </c>
    </row>
    <row r="306" ht="18.75" customHeight="1" thickBot="1">
      <c r="E306" s="1"/>
    </row>
    <row r="307" ht="19.5" customHeight="1" hidden="1" thickBot="1">
      <c r="E307" s="1"/>
    </row>
    <row r="308" spans="1:8" ht="17.25" customHeight="1" thickBot="1">
      <c r="A308" s="1030" t="s">
        <v>266</v>
      </c>
      <c r="B308" s="1030"/>
      <c r="C308" s="1030"/>
      <c r="D308" s="1030"/>
      <c r="E308" s="185"/>
      <c r="F308" s="1029" t="s">
        <v>267</v>
      </c>
      <c r="G308" s="1029"/>
      <c r="H308" s="1029"/>
    </row>
    <row r="309" spans="1:8" ht="13.5" thickBot="1">
      <c r="A309" s="180">
        <f>A305+1</f>
        <v>19</v>
      </c>
      <c r="B309" s="50" t="s">
        <v>268</v>
      </c>
      <c r="C309" s="931" t="s">
        <v>390</v>
      </c>
      <c r="D309" s="1021"/>
      <c r="E309" s="1022"/>
      <c r="F309" s="178">
        <f>VLOOKUP(B309,СГИ!$K$16:$L$28,2,TRUE)</f>
        <v>4390</v>
      </c>
      <c r="G309" s="178">
        <f>VLOOKUP(B309,СГИ!$K$16:$N$28,3,TRUE)</f>
        <v>4790</v>
      </c>
      <c r="H309" s="178">
        <f>VLOOKUP(B309,СГИ!$K$16:$N$28,4,TRUE)</f>
        <v>6670</v>
      </c>
    </row>
    <row r="310" spans="1:8" ht="13.5" thickBot="1">
      <c r="A310" s="180">
        <f aca="true" t="shared" si="21" ref="A310:A321">A309+1</f>
        <v>20</v>
      </c>
      <c r="B310" s="50" t="s">
        <v>269</v>
      </c>
      <c r="C310" s="931" t="s">
        <v>391</v>
      </c>
      <c r="D310" s="1021"/>
      <c r="E310" s="1022"/>
      <c r="F310" s="178">
        <f>VLOOKUP(B310,СГИ!$K$16:$L$28,2,TRUE)</f>
        <v>4390</v>
      </c>
      <c r="G310" s="166">
        <f>VLOOKUP(B310,СГИ!$K$16:$N$28,3,TRUE)</f>
        <v>4790</v>
      </c>
      <c r="H310" s="94"/>
    </row>
    <row r="311" spans="1:8" ht="13.5" thickBot="1">
      <c r="A311" s="180">
        <f t="shared" si="21"/>
        <v>21</v>
      </c>
      <c r="B311" s="50" t="s">
        <v>270</v>
      </c>
      <c r="C311" s="931" t="s">
        <v>263</v>
      </c>
      <c r="D311" s="1021"/>
      <c r="E311" s="1022"/>
      <c r="F311" s="178">
        <f>VLOOKUP(B311,СГИ!$K$16:$L$28,2,TRUE)</f>
        <v>4390</v>
      </c>
      <c r="G311" s="581">
        <f>VLOOKUP(B311,СГИ!$K$16:$N$28,3,TRUE)</f>
        <v>4790</v>
      </c>
      <c r="H311" s="94"/>
    </row>
    <row r="312" spans="1:8" ht="13.5" thickBot="1">
      <c r="A312" s="180">
        <f t="shared" si="21"/>
        <v>22</v>
      </c>
      <c r="B312" s="50" t="s">
        <v>271</v>
      </c>
      <c r="C312" s="931" t="s">
        <v>392</v>
      </c>
      <c r="D312" s="1021"/>
      <c r="E312" s="1022"/>
      <c r="F312" s="580">
        <f>VLOOKUP(B312,СГИ!$K$16:$L$28,2,TRUE)</f>
        <v>4390</v>
      </c>
      <c r="G312" s="582">
        <f>VLOOKUP(B312,СГИ!$K$16:$N$28,3,TRUE)</f>
        <v>4790</v>
      </c>
      <c r="H312" s="94"/>
    </row>
    <row r="313" spans="1:8" ht="13.5" thickBot="1">
      <c r="A313" s="180">
        <f t="shared" si="21"/>
        <v>23</v>
      </c>
      <c r="B313" s="50" t="s">
        <v>272</v>
      </c>
      <c r="C313" s="931" t="s">
        <v>781</v>
      </c>
      <c r="D313" s="1021"/>
      <c r="E313" s="1022"/>
      <c r="F313" s="178">
        <f>VLOOKUP(B313,СГИ!$K$16:$L$28,2,TRUE)</f>
        <v>2050</v>
      </c>
      <c r="G313" s="583"/>
      <c r="H313" s="94"/>
    </row>
    <row r="314" spans="1:8" ht="13.5" thickBot="1">
      <c r="A314" s="180">
        <f t="shared" si="21"/>
        <v>24</v>
      </c>
      <c r="B314" s="50" t="s">
        <v>273</v>
      </c>
      <c r="C314" s="931" t="s">
        <v>389</v>
      </c>
      <c r="D314" s="1021"/>
      <c r="E314" s="1022"/>
      <c r="F314" s="580">
        <f>VLOOKUP(B314,СГИ!$K$16:$L$28,2,TRUE)</f>
        <v>4390</v>
      </c>
      <c r="G314" s="582">
        <f>VLOOKUP(B314,СГИ!$K$16:$N$28,3,TRUE)</f>
        <v>4790</v>
      </c>
      <c r="H314" s="94"/>
    </row>
    <row r="315" spans="1:8" ht="13.5" thickBot="1">
      <c r="A315" s="180">
        <f t="shared" si="21"/>
        <v>25</v>
      </c>
      <c r="B315" s="50" t="s">
        <v>274</v>
      </c>
      <c r="C315" s="931" t="s">
        <v>136</v>
      </c>
      <c r="D315" s="1021"/>
      <c r="E315" s="1022"/>
      <c r="F315" s="580">
        <f>VLOOKUP(B315,СГИ!$K$16:$L$28,2,TRUE)</f>
        <v>4390</v>
      </c>
      <c r="G315" s="582">
        <f>VLOOKUP(B315,СГИ!$K$16:$N$28,3,TRUE)</f>
        <v>4790</v>
      </c>
      <c r="H315" s="166">
        <f>VLOOKUP(B315,СГИ!$K$16:$N$28,4,TRUE)</f>
        <v>6670</v>
      </c>
    </row>
    <row r="316" spans="1:8" ht="13.5" thickBot="1">
      <c r="A316" s="180">
        <f t="shared" si="21"/>
        <v>26</v>
      </c>
      <c r="B316" s="17" t="s">
        <v>275</v>
      </c>
      <c r="C316" s="932" t="s">
        <v>780</v>
      </c>
      <c r="D316" s="1023"/>
      <c r="E316" s="1024"/>
      <c r="F316" s="183">
        <f>VLOOKUP(B316,СГИ!$K$16:$L$28,2,TRUE)</f>
        <v>6440</v>
      </c>
      <c r="G316" s="25"/>
      <c r="H316" s="166"/>
    </row>
    <row r="317" spans="1:8" ht="13.5" thickBot="1">
      <c r="A317" s="180">
        <f t="shared" si="21"/>
        <v>27</v>
      </c>
      <c r="B317" s="50" t="s">
        <v>276</v>
      </c>
      <c r="C317" s="931" t="s">
        <v>117</v>
      </c>
      <c r="D317" s="1021"/>
      <c r="E317" s="1022"/>
      <c r="F317" s="178">
        <f>VLOOKUP(B317,СГИ!$K$16:$L$28,2,TRUE)</f>
        <v>6440</v>
      </c>
      <c r="G317" s="178"/>
      <c r="H317" s="166">
        <f>VLOOKUP(B317,СГИ!$K$16:$N$28,4,TRUE)</f>
        <v>8460</v>
      </c>
    </row>
    <row r="318" spans="1:8" ht="13.5" thickBot="1">
      <c r="A318" s="180">
        <f t="shared" si="21"/>
        <v>28</v>
      </c>
      <c r="B318" s="50" t="s">
        <v>277</v>
      </c>
      <c r="C318" s="931" t="s">
        <v>382</v>
      </c>
      <c r="D318" s="1021"/>
      <c r="E318" s="1022"/>
      <c r="F318" s="178">
        <f>VLOOKUP(B318,СГИ!$K$16:$L$28,2,TRUE)</f>
        <v>4390</v>
      </c>
      <c r="G318" s="166">
        <f>VLOOKUP(B318,СГИ!$K$16:$N$28,3,TRUE)</f>
        <v>4790</v>
      </c>
      <c r="H318" s="94"/>
    </row>
    <row r="319" spans="1:8" ht="13.5" thickBot="1">
      <c r="A319" s="180">
        <f t="shared" si="21"/>
        <v>29</v>
      </c>
      <c r="B319" s="50" t="s">
        <v>278</v>
      </c>
      <c r="C319" s="931" t="s">
        <v>48</v>
      </c>
      <c r="D319" s="1021"/>
      <c r="E319" s="1022"/>
      <c r="F319" s="178">
        <f>VLOOKUP(B319,СГИ!$K$16:$L$28,2,TRUE)</f>
        <v>6440</v>
      </c>
      <c r="G319" s="94"/>
      <c r="H319" s="94"/>
    </row>
    <row r="320" spans="1:8" ht="13.5" thickBot="1">
      <c r="A320" s="180">
        <f t="shared" si="21"/>
        <v>30</v>
      </c>
      <c r="B320" s="50" t="s">
        <v>498</v>
      </c>
      <c r="C320" s="931" t="s">
        <v>258</v>
      </c>
      <c r="D320" s="1021"/>
      <c r="E320" s="1022"/>
      <c r="F320" s="178">
        <f>VLOOKUP(B320,СГИ!$K$16:$L$28,2,TRUE)</f>
        <v>13200</v>
      </c>
      <c r="G320" s="94"/>
      <c r="H320" s="94"/>
    </row>
    <row r="321" spans="1:8" ht="13.5" thickBot="1">
      <c r="A321" s="180">
        <f t="shared" si="21"/>
        <v>31</v>
      </c>
      <c r="B321" s="50" t="s">
        <v>279</v>
      </c>
      <c r="C321" s="931"/>
      <c r="D321" s="1021"/>
      <c r="E321" s="1022"/>
      <c r="F321" s="178">
        <f>VLOOKUP(B321,СГИ!$K$16:$L$28,2,TRUE)</f>
        <v>4120</v>
      </c>
      <c r="G321" s="94"/>
      <c r="H321" s="94"/>
    </row>
    <row r="322" spans="1:2" ht="19.5" customHeight="1">
      <c r="A322" s="170"/>
      <c r="B322" s="1" t="s">
        <v>280</v>
      </c>
    </row>
    <row r="323" spans="1:2" ht="19.5" customHeight="1">
      <c r="A323" s="170"/>
      <c r="B323" s="933" t="s">
        <v>537</v>
      </c>
    </row>
    <row r="324" ht="19.5" customHeight="1" thickBot="1">
      <c r="A324" s="170"/>
    </row>
    <row r="325" spans="1:8" ht="16.5" customHeight="1" thickBot="1">
      <c r="A325" s="1030" t="s">
        <v>281</v>
      </c>
      <c r="B325" s="1030"/>
      <c r="C325" s="1030"/>
      <c r="D325" s="1030"/>
      <c r="E325" s="185"/>
      <c r="F325" s="1029" t="s">
        <v>267</v>
      </c>
      <c r="G325" s="1029"/>
      <c r="H325" s="1029"/>
    </row>
    <row r="326" spans="1:256" ht="76.5" customHeight="1" thickBot="1">
      <c r="A326" s="169"/>
      <c r="B326" s="93"/>
      <c r="C326" s="169"/>
      <c r="D326" s="186" t="s">
        <v>2</v>
      </c>
      <c r="E326" s="186" t="s">
        <v>3</v>
      </c>
      <c r="F326" s="186" t="s">
        <v>282</v>
      </c>
      <c r="G326" s="186" t="s">
        <v>519</v>
      </c>
      <c r="H326" s="94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4.25" thickBot="1">
      <c r="A327" s="180">
        <f>A321+1</f>
        <v>32</v>
      </c>
      <c r="B327" s="93" t="s">
        <v>283</v>
      </c>
      <c r="C327" s="169"/>
      <c r="D327" s="41" t="s">
        <v>136</v>
      </c>
      <c r="E327" s="54" t="s">
        <v>140</v>
      </c>
      <c r="F327" s="21">
        <v>8690</v>
      </c>
      <c r="G327" s="21">
        <v>13050</v>
      </c>
      <c r="H327" s="94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3.5" thickBot="1">
      <c r="A328" s="180">
        <f aca="true" t="shared" si="22" ref="A328:A341">A327+1</f>
        <v>33</v>
      </c>
      <c r="B328" s="93" t="s">
        <v>283</v>
      </c>
      <c r="C328" s="169"/>
      <c r="D328" s="41" t="s">
        <v>284</v>
      </c>
      <c r="E328" s="54" t="s">
        <v>97</v>
      </c>
      <c r="F328" s="21">
        <v>6880</v>
      </c>
      <c r="G328" s="21" t="s">
        <v>285</v>
      </c>
      <c r="H328" s="94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3.5" thickBot="1">
      <c r="A329" s="180">
        <f t="shared" si="22"/>
        <v>34</v>
      </c>
      <c r="B329" s="93" t="s">
        <v>283</v>
      </c>
      <c r="C329" s="169"/>
      <c r="D329" s="41" t="s">
        <v>286</v>
      </c>
      <c r="E329" s="54" t="s">
        <v>97</v>
      </c>
      <c r="F329" s="21">
        <v>6880</v>
      </c>
      <c r="G329" s="21" t="s">
        <v>285</v>
      </c>
      <c r="H329" s="94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4.25" customHeight="1" thickBot="1">
      <c r="A330" s="180">
        <f t="shared" si="22"/>
        <v>35</v>
      </c>
      <c r="B330" s="93" t="s">
        <v>283</v>
      </c>
      <c r="C330" s="169"/>
      <c r="D330" s="41" t="s">
        <v>287</v>
      </c>
      <c r="E330" s="54" t="s">
        <v>97</v>
      </c>
      <c r="F330" s="21">
        <v>6880</v>
      </c>
      <c r="G330" s="21" t="s">
        <v>285</v>
      </c>
      <c r="H330" s="94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4.25" thickBot="1">
      <c r="A331" s="180">
        <f t="shared" si="22"/>
        <v>36</v>
      </c>
      <c r="B331" s="93" t="s">
        <v>283</v>
      </c>
      <c r="C331" s="169"/>
      <c r="D331" s="100" t="s">
        <v>288</v>
      </c>
      <c r="E331" s="54" t="s">
        <v>164</v>
      </c>
      <c r="F331" s="21">
        <v>6880</v>
      </c>
      <c r="G331" s="21" t="s">
        <v>285</v>
      </c>
      <c r="H331" s="94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 thickBot="1">
      <c r="A332" s="180">
        <f t="shared" si="22"/>
        <v>37</v>
      </c>
      <c r="B332" s="93" t="s">
        <v>283</v>
      </c>
      <c r="C332" s="169"/>
      <c r="D332" s="100" t="s">
        <v>36</v>
      </c>
      <c r="E332" s="54" t="s">
        <v>164</v>
      </c>
      <c r="F332" s="97">
        <v>18880</v>
      </c>
      <c r="G332" s="21">
        <v>28320</v>
      </c>
      <c r="H332" s="94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4.25" thickBot="1">
      <c r="A333" s="180">
        <f t="shared" si="22"/>
        <v>38</v>
      </c>
      <c r="B333" s="93" t="s">
        <v>283</v>
      </c>
      <c r="C333" s="169"/>
      <c r="D333" s="100" t="s">
        <v>192</v>
      </c>
      <c r="E333" s="54" t="s">
        <v>205</v>
      </c>
      <c r="F333" s="21">
        <v>8410</v>
      </c>
      <c r="G333" s="21">
        <v>12620</v>
      </c>
      <c r="H333" s="94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4.25" thickBot="1">
      <c r="A334" s="180">
        <f t="shared" si="22"/>
        <v>39</v>
      </c>
      <c r="B334" s="93" t="s">
        <v>283</v>
      </c>
      <c r="C334" s="169"/>
      <c r="D334" s="100" t="s">
        <v>195</v>
      </c>
      <c r="E334" s="54" t="s">
        <v>207</v>
      </c>
      <c r="F334" s="97">
        <v>8900</v>
      </c>
      <c r="G334" s="21">
        <v>13370</v>
      </c>
      <c r="H334" s="9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4.25" thickBot="1">
      <c r="A335" s="180">
        <f t="shared" si="22"/>
        <v>40</v>
      </c>
      <c r="B335" s="93" t="s">
        <v>283</v>
      </c>
      <c r="C335" s="169"/>
      <c r="D335" s="100" t="s">
        <v>198</v>
      </c>
      <c r="E335" s="54" t="s">
        <v>210</v>
      </c>
      <c r="F335" s="97">
        <v>9210</v>
      </c>
      <c r="G335" s="21">
        <v>13820</v>
      </c>
      <c r="H335" s="94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4.25" thickBot="1">
      <c r="A336" s="180">
        <f t="shared" si="22"/>
        <v>41</v>
      </c>
      <c r="B336" s="93" t="s">
        <v>283</v>
      </c>
      <c r="C336" s="169"/>
      <c r="D336" s="100" t="s">
        <v>88</v>
      </c>
      <c r="E336" s="54" t="s">
        <v>104</v>
      </c>
      <c r="F336" s="97">
        <v>9940</v>
      </c>
      <c r="G336" s="21">
        <v>14920</v>
      </c>
      <c r="H336" s="94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4.25" thickBot="1">
      <c r="A337" s="180">
        <f t="shared" si="22"/>
        <v>42</v>
      </c>
      <c r="B337" s="93" t="s">
        <v>283</v>
      </c>
      <c r="C337" s="169"/>
      <c r="D337" s="100" t="s">
        <v>215</v>
      </c>
      <c r="E337" s="54" t="s">
        <v>216</v>
      </c>
      <c r="F337" s="97">
        <v>9210</v>
      </c>
      <c r="G337" s="21">
        <v>13820</v>
      </c>
      <c r="H337" s="94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4.25" thickBot="1">
      <c r="A338" s="180">
        <f t="shared" si="22"/>
        <v>43</v>
      </c>
      <c r="B338" s="93" t="s">
        <v>289</v>
      </c>
      <c r="C338" s="169"/>
      <c r="D338" s="100" t="s">
        <v>48</v>
      </c>
      <c r="E338" s="54" t="s">
        <v>218</v>
      </c>
      <c r="F338" s="97">
        <v>16240</v>
      </c>
      <c r="G338" s="21">
        <v>24370</v>
      </c>
      <c r="H338" s="94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4.25" thickBot="1">
      <c r="A339" s="180">
        <f t="shared" si="22"/>
        <v>44</v>
      </c>
      <c r="B339" s="93" t="s">
        <v>283</v>
      </c>
      <c r="C339" s="169"/>
      <c r="D339" s="100" t="s">
        <v>73</v>
      </c>
      <c r="E339" s="52" t="s">
        <v>221</v>
      </c>
      <c r="F339" s="97">
        <v>18880</v>
      </c>
      <c r="G339" s="21">
        <v>28320</v>
      </c>
      <c r="H339" s="94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4.25" thickBot="1">
      <c r="A340" s="180">
        <f t="shared" si="22"/>
        <v>45</v>
      </c>
      <c r="B340" s="93" t="s">
        <v>289</v>
      </c>
      <c r="C340" s="169"/>
      <c r="D340" s="100" t="s">
        <v>89</v>
      </c>
      <c r="E340" s="54" t="s">
        <v>218</v>
      </c>
      <c r="F340" s="97">
        <v>11980</v>
      </c>
      <c r="G340" s="21">
        <v>17990</v>
      </c>
      <c r="H340" s="94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4.25" thickBot="1">
      <c r="A341" s="180">
        <f t="shared" si="22"/>
        <v>46</v>
      </c>
      <c r="B341" s="93" t="s">
        <v>283</v>
      </c>
      <c r="C341" s="169"/>
      <c r="D341" s="86" t="s">
        <v>117</v>
      </c>
      <c r="E341" s="54" t="s">
        <v>227</v>
      </c>
      <c r="F341" s="166">
        <v>19410</v>
      </c>
      <c r="G341" s="21">
        <v>29130</v>
      </c>
      <c r="H341" s="94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22.5" customHeight="1">
      <c r="A342" s="1043" t="s">
        <v>512</v>
      </c>
      <c r="B342" s="1043"/>
      <c r="C342" s="1043"/>
      <c r="D342" s="1043"/>
      <c r="E342" s="1043"/>
      <c r="F342" s="1043"/>
      <c r="G342" s="1043"/>
      <c r="H342" s="1043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3.5" thickBot="1">
      <c r="A343" s="180">
        <f>A341+1</f>
        <v>47</v>
      </c>
      <c r="B343" s="50" t="s">
        <v>513</v>
      </c>
      <c r="C343" s="50"/>
      <c r="D343" s="50"/>
      <c r="E343" s="50"/>
      <c r="F343" s="184">
        <v>45000</v>
      </c>
      <c r="G343" s="50"/>
      <c r="H343" s="50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26.25" thickBot="1">
      <c r="A344" s="180">
        <f>A343+1</f>
        <v>48</v>
      </c>
      <c r="B344" s="50" t="s">
        <v>497</v>
      </c>
      <c r="C344" s="50"/>
      <c r="D344" s="50"/>
      <c r="E344" s="50"/>
      <c r="F344" s="184">
        <v>9590</v>
      </c>
      <c r="G344" s="50"/>
      <c r="H344" s="50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26.25" thickBot="1">
      <c r="A345" s="180">
        <f aca="true" t="shared" si="23" ref="A345:A350">A344+1</f>
        <v>49</v>
      </c>
      <c r="B345" s="50" t="s">
        <v>514</v>
      </c>
      <c r="C345" s="50"/>
      <c r="D345" s="50"/>
      <c r="E345" s="50"/>
      <c r="F345" s="184">
        <v>2490</v>
      </c>
      <c r="G345" s="50"/>
      <c r="H345" s="50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thickBot="1">
      <c r="A346" s="180">
        <f t="shared" si="23"/>
        <v>50</v>
      </c>
      <c r="B346" s="50" t="s">
        <v>489</v>
      </c>
      <c r="C346" s="50"/>
      <c r="D346" s="50"/>
      <c r="E346" s="50"/>
      <c r="F346" s="184">
        <v>3450</v>
      </c>
      <c r="G346" s="50"/>
      <c r="H346" s="50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thickBot="1">
      <c r="A347" s="180">
        <f t="shared" si="23"/>
        <v>51</v>
      </c>
      <c r="B347" s="50" t="s">
        <v>490</v>
      </c>
      <c r="C347" s="50"/>
      <c r="D347" s="50"/>
      <c r="E347" s="50"/>
      <c r="F347" s="184">
        <v>3680</v>
      </c>
      <c r="G347" s="50"/>
      <c r="H347" s="50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thickBot="1">
      <c r="A348" s="180">
        <f t="shared" si="23"/>
        <v>52</v>
      </c>
      <c r="B348" s="50" t="s">
        <v>491</v>
      </c>
      <c r="C348" s="50"/>
      <c r="D348" s="50"/>
      <c r="E348" s="50"/>
      <c r="F348" s="184">
        <v>6330</v>
      </c>
      <c r="G348" s="50"/>
      <c r="H348" s="50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180">
        <f t="shared" si="23"/>
        <v>53</v>
      </c>
      <c r="B349" s="50" t="s">
        <v>492</v>
      </c>
      <c r="C349" s="50"/>
      <c r="D349" s="50"/>
      <c r="E349" s="50"/>
      <c r="F349" s="184">
        <v>3000</v>
      </c>
      <c r="G349" s="50"/>
      <c r="H349" s="50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thickBot="1">
      <c r="A350" s="180">
        <f t="shared" si="23"/>
        <v>54</v>
      </c>
      <c r="B350" s="50" t="s">
        <v>503</v>
      </c>
      <c r="C350" s="50"/>
      <c r="D350" s="50"/>
      <c r="E350" s="50"/>
      <c r="F350" s="184">
        <v>150</v>
      </c>
      <c r="G350" s="50"/>
      <c r="H350" s="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22.5" customHeight="1">
      <c r="A351" s="1043" t="s">
        <v>290</v>
      </c>
      <c r="B351" s="1043"/>
      <c r="C351" s="1043"/>
      <c r="D351" s="1043"/>
      <c r="E351" s="1043"/>
      <c r="F351" s="1043"/>
      <c r="G351" s="1043"/>
      <c r="H351" s="1043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thickBot="1">
      <c r="A352" s="180">
        <f>A350+1</f>
        <v>55</v>
      </c>
      <c r="B352" s="50" t="s">
        <v>291</v>
      </c>
      <c r="C352" s="50"/>
      <c r="D352" s="50"/>
      <c r="E352" s="50"/>
      <c r="F352" s="184">
        <f>'И23-стац-моноблоки'!D25</f>
        <v>1660</v>
      </c>
      <c r="G352" s="50"/>
      <c r="H352" s="50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thickBot="1">
      <c r="A353" s="180">
        <f>A352+1</f>
        <v>56</v>
      </c>
      <c r="B353" s="50" t="s">
        <v>315</v>
      </c>
      <c r="C353" s="50"/>
      <c r="D353" s="50"/>
      <c r="E353" s="50"/>
      <c r="F353" s="184">
        <v>9870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 thickBot="1">
      <c r="A354" s="180">
        <f>A352+1</f>
        <v>56</v>
      </c>
      <c r="B354" s="50" t="s">
        <v>292</v>
      </c>
      <c r="C354" s="50"/>
      <c r="D354" s="50"/>
      <c r="E354" s="50"/>
      <c r="F354" s="184">
        <v>3860</v>
      </c>
      <c r="G354" s="50"/>
      <c r="H354" s="50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thickBot="1">
      <c r="A355" s="180">
        <f>A354+1</f>
        <v>57</v>
      </c>
      <c r="B355" s="50" t="s">
        <v>529</v>
      </c>
      <c r="C355" s="50"/>
      <c r="D355" s="50"/>
      <c r="E355" s="50"/>
      <c r="F355" s="184">
        <v>1100</v>
      </c>
      <c r="G355" s="50"/>
      <c r="H355" s="50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thickBot="1">
      <c r="A356" s="180">
        <f>A354+1</f>
        <v>57</v>
      </c>
      <c r="B356" s="50" t="s">
        <v>293</v>
      </c>
      <c r="C356" s="50"/>
      <c r="D356" s="50"/>
      <c r="E356" s="50"/>
      <c r="F356" s="184">
        <v>660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thickBot="1">
      <c r="A357" s="180">
        <f>A356+1</f>
        <v>58</v>
      </c>
      <c r="B357" s="50" t="s">
        <v>533</v>
      </c>
      <c r="C357" s="50"/>
      <c r="D357" s="50"/>
      <c r="E357" s="50"/>
      <c r="F357" s="184">
        <v>560</v>
      </c>
      <c r="G357" s="50"/>
      <c r="H357" s="50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8" ht="28.5" customHeight="1" thickBot="1">
      <c r="A358" s="180">
        <f>A356+1</f>
        <v>58</v>
      </c>
      <c r="B358" s="50" t="s">
        <v>523</v>
      </c>
      <c r="C358" s="50"/>
      <c r="D358" s="50"/>
      <c r="E358" s="50"/>
      <c r="F358" s="184">
        <v>990</v>
      </c>
      <c r="G358" s="50"/>
      <c r="H358" s="50"/>
    </row>
    <row r="359" spans="1:8" s="4" customFormat="1" ht="24" customHeight="1" thickBot="1">
      <c r="A359" s="180">
        <f>A358+1</f>
        <v>59</v>
      </c>
      <c r="B359" s="173" t="s">
        <v>233</v>
      </c>
      <c r="C359" s="169"/>
      <c r="D359" s="86"/>
      <c r="E359" s="54"/>
      <c r="F359" s="97">
        <f>СГ1!C26</f>
        <v>4190</v>
      </c>
      <c r="G359" s="94"/>
      <c r="H359" s="94"/>
    </row>
    <row r="360" spans="1:256" ht="13.5" thickBot="1">
      <c r="A360" s="180">
        <f>A358+1</f>
        <v>59</v>
      </c>
      <c r="B360" s="173" t="s">
        <v>234</v>
      </c>
      <c r="C360" s="169"/>
      <c r="D360" s="86"/>
      <c r="E360" s="54"/>
      <c r="F360" s="97">
        <f>СГ1!C25</f>
        <v>3540</v>
      </c>
      <c r="G360" s="94"/>
      <c r="H360" s="94"/>
      <c r="I360"/>
      <c r="J360"/>
      <c r="K360"/>
      <c r="L360"/>
      <c r="M360"/>
      <c r="N360"/>
      <c r="O360"/>
      <c r="P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26.25" thickBot="1">
      <c r="A361" s="180">
        <f>A360+1</f>
        <v>60</v>
      </c>
      <c r="B361" s="50" t="s">
        <v>294</v>
      </c>
      <c r="C361" s="50"/>
      <c r="D361" s="50"/>
      <c r="E361" s="50"/>
      <c r="F361" s="184">
        <v>150</v>
      </c>
      <c r="G361" s="50"/>
      <c r="H361" s="50"/>
      <c r="I361"/>
      <c r="J361"/>
      <c r="K361"/>
      <c r="L361"/>
      <c r="M361"/>
      <c r="N361"/>
      <c r="O361"/>
      <c r="P361"/>
      <c r="R361"/>
      <c r="S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 thickBot="1">
      <c r="A362" s="180">
        <f>A360+1</f>
        <v>60</v>
      </c>
      <c r="B362" s="50" t="s">
        <v>524</v>
      </c>
      <c r="C362" s="50"/>
      <c r="D362" s="50"/>
      <c r="E362" s="50"/>
      <c r="F362" s="184">
        <v>1500</v>
      </c>
      <c r="G362" s="50"/>
      <c r="H362" s="50"/>
      <c r="I362"/>
      <c r="J362"/>
      <c r="K362"/>
      <c r="L362"/>
      <c r="M362"/>
      <c r="N362"/>
      <c r="O362"/>
      <c r="P362"/>
      <c r="R362"/>
      <c r="S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 thickBot="1">
      <c r="A363" s="180">
        <f>A362+1</f>
        <v>61</v>
      </c>
      <c r="B363" s="50" t="s">
        <v>525</v>
      </c>
      <c r="C363" s="50"/>
      <c r="D363" s="50"/>
      <c r="E363" s="50"/>
      <c r="F363" s="184">
        <v>1500</v>
      </c>
      <c r="G363" s="50"/>
      <c r="H363" s="50"/>
      <c r="I363"/>
      <c r="J363"/>
      <c r="K363"/>
      <c r="L363"/>
      <c r="M363"/>
      <c r="N363"/>
      <c r="O363"/>
      <c r="P363"/>
      <c r="R363"/>
      <c r="S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 thickBot="1">
      <c r="A364" s="180">
        <f>A362+1</f>
        <v>61</v>
      </c>
      <c r="B364" s="50" t="s">
        <v>526</v>
      </c>
      <c r="C364" s="50"/>
      <c r="D364" s="50"/>
      <c r="E364" s="50"/>
      <c r="F364" s="184">
        <v>1500</v>
      </c>
      <c r="G364" s="50"/>
      <c r="H364" s="50"/>
      <c r="I364"/>
      <c r="J364"/>
      <c r="K364"/>
      <c r="L364"/>
      <c r="M364"/>
      <c r="N364"/>
      <c r="O364"/>
      <c r="P364"/>
      <c r="R364"/>
      <c r="S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 thickBot="1">
      <c r="A365" s="180">
        <f>A364+1</f>
        <v>62</v>
      </c>
      <c r="B365" s="50" t="s">
        <v>527</v>
      </c>
      <c r="C365" s="50"/>
      <c r="D365" s="50"/>
      <c r="E365" s="50"/>
      <c r="F365" s="184">
        <v>1500</v>
      </c>
      <c r="G365" s="50"/>
      <c r="H365" s="50"/>
      <c r="I365"/>
      <c r="J365"/>
      <c r="K365"/>
      <c r="L365"/>
      <c r="M365"/>
      <c r="N365"/>
      <c r="O365"/>
      <c r="P365"/>
      <c r="R365"/>
      <c r="S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 thickBot="1">
      <c r="A366" s="180">
        <f>A364+1</f>
        <v>62</v>
      </c>
      <c r="B366" s="50" t="s">
        <v>528</v>
      </c>
      <c r="C366" s="50"/>
      <c r="D366" s="50"/>
      <c r="E366" s="50"/>
      <c r="F366" s="184">
        <v>2600</v>
      </c>
      <c r="G366" s="50"/>
      <c r="H366" s="50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39" thickBot="1">
      <c r="A367" s="180">
        <f>A366+1</f>
        <v>63</v>
      </c>
      <c r="B367" s="50" t="s">
        <v>295</v>
      </c>
      <c r="C367" s="50"/>
      <c r="D367" s="50"/>
      <c r="E367" s="50"/>
      <c r="F367" s="184" t="s">
        <v>499</v>
      </c>
      <c r="G367" s="50"/>
      <c r="H367" s="50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39" thickBot="1">
      <c r="A368" s="180">
        <f>A366+1</f>
        <v>63</v>
      </c>
      <c r="B368" s="50" t="s">
        <v>296</v>
      </c>
      <c r="C368" s="50"/>
      <c r="D368" s="50"/>
      <c r="E368" s="50"/>
      <c r="F368" s="184" t="s">
        <v>518</v>
      </c>
      <c r="G368" s="50"/>
      <c r="H368" s="50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3.5" thickBot="1">
      <c r="A369" s="180">
        <f>A368+1</f>
        <v>64</v>
      </c>
      <c r="B369" s="50" t="s">
        <v>901</v>
      </c>
      <c r="C369" s="50"/>
      <c r="D369" s="50"/>
      <c r="E369" s="50"/>
      <c r="F369" s="184">
        <v>490</v>
      </c>
      <c r="G369" s="50"/>
      <c r="H369" s="50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3.5" thickBot="1">
      <c r="A370" s="180">
        <f>A368+1</f>
        <v>64</v>
      </c>
      <c r="B370" s="50" t="s">
        <v>900</v>
      </c>
      <c r="C370" s="50"/>
      <c r="D370" s="50"/>
      <c r="E370" s="50"/>
      <c r="F370" s="184">
        <v>710</v>
      </c>
      <c r="G370" s="50"/>
      <c r="H370" s="5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26.25" thickBot="1">
      <c r="A371" s="180">
        <f>A370+1</f>
        <v>65</v>
      </c>
      <c r="B371" s="50" t="s">
        <v>508</v>
      </c>
      <c r="C371" s="50"/>
      <c r="D371" s="50"/>
      <c r="E371" s="50"/>
      <c r="F371" s="184">
        <v>780</v>
      </c>
      <c r="G371" s="50"/>
      <c r="H371" s="50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26.25" thickBot="1">
      <c r="A372" s="180">
        <f>A370+1</f>
        <v>65</v>
      </c>
      <c r="B372" s="50" t="s">
        <v>297</v>
      </c>
      <c r="C372" s="50"/>
      <c r="D372" s="50"/>
      <c r="E372" s="50"/>
      <c r="F372" s="184">
        <v>270</v>
      </c>
      <c r="G372" s="50"/>
      <c r="H372" s="50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27.75" thickBot="1">
      <c r="A373" s="180">
        <f>A372+1</f>
        <v>66</v>
      </c>
      <c r="B373" s="50" t="s">
        <v>496</v>
      </c>
      <c r="C373" s="50"/>
      <c r="D373" s="50"/>
      <c r="E373" s="50"/>
      <c r="F373" s="184">
        <v>830</v>
      </c>
      <c r="G373" s="50"/>
      <c r="H373" s="50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8" ht="27.75" thickBot="1">
      <c r="A374" s="180">
        <f>A372+1</f>
        <v>66</v>
      </c>
      <c r="B374" s="50" t="s">
        <v>495</v>
      </c>
      <c r="C374" s="50"/>
      <c r="D374" s="50"/>
      <c r="E374" s="50"/>
      <c r="F374" s="184">
        <v>830</v>
      </c>
      <c r="G374" s="50"/>
      <c r="H374" s="50"/>
    </row>
    <row r="375" ht="15.75">
      <c r="A375" s="170"/>
    </row>
    <row r="376" ht="15.75">
      <c r="A376" s="77"/>
    </row>
    <row r="377" spans="1:3" ht="18.75">
      <c r="A377" s="187" t="s">
        <v>298</v>
      </c>
      <c r="B377" s="188"/>
      <c r="C377" s="188"/>
    </row>
    <row r="378" spans="1:3" ht="18">
      <c r="A378" s="188" t="s">
        <v>299</v>
      </c>
      <c r="B378" s="188"/>
      <c r="C378" s="188"/>
    </row>
    <row r="379" spans="1:3" ht="18">
      <c r="A379" s="188" t="s">
        <v>300</v>
      </c>
      <c r="B379" s="188"/>
      <c r="C379" s="188"/>
    </row>
    <row r="380" spans="1:3" ht="18">
      <c r="A380" s="188" t="s">
        <v>899</v>
      </c>
      <c r="B380" s="188"/>
      <c r="C380" s="188"/>
    </row>
    <row r="381" spans="1:6" ht="18">
      <c r="A381" s="1044" t="s">
        <v>301</v>
      </c>
      <c r="B381" s="1044"/>
      <c r="C381" s="1044" t="s">
        <v>302</v>
      </c>
      <c r="D381" s="1044"/>
      <c r="E381" s="1044"/>
      <c r="F381" s="571"/>
    </row>
  </sheetData>
  <sheetProtection formatCells="0" formatRows="0"/>
  <mergeCells count="95">
    <mergeCell ref="D312:E312"/>
    <mergeCell ref="C287:E287"/>
    <mergeCell ref="C288:E288"/>
    <mergeCell ref="C289:E289"/>
    <mergeCell ref="C290:E290"/>
    <mergeCell ref="C291:E291"/>
    <mergeCell ref="C292:E292"/>
    <mergeCell ref="A294:D294"/>
    <mergeCell ref="E294:H294"/>
    <mergeCell ref="B295:B296"/>
    <mergeCell ref="A351:H351"/>
    <mergeCell ref="A381:B381"/>
    <mergeCell ref="C381:E381"/>
    <mergeCell ref="A308:D308"/>
    <mergeCell ref="F308:H308"/>
    <mergeCell ref="A325:D325"/>
    <mergeCell ref="F325:H325"/>
    <mergeCell ref="A342:H342"/>
    <mergeCell ref="D309:E309"/>
    <mergeCell ref="D310:E310"/>
    <mergeCell ref="E295:E296"/>
    <mergeCell ref="F295:H295"/>
    <mergeCell ref="A284:D284"/>
    <mergeCell ref="E284:H284"/>
    <mergeCell ref="B285:B286"/>
    <mergeCell ref="F285:H285"/>
    <mergeCell ref="C285:E286"/>
    <mergeCell ref="D311:E311"/>
    <mergeCell ref="A275:D275"/>
    <mergeCell ref="E275:H275"/>
    <mergeCell ref="B276:B277"/>
    <mergeCell ref="C276:C277"/>
    <mergeCell ref="D276:D277"/>
    <mergeCell ref="E276:E277"/>
    <mergeCell ref="F276:H276"/>
    <mergeCell ref="C295:C296"/>
    <mergeCell ref="D295:D296"/>
    <mergeCell ref="A269:D269"/>
    <mergeCell ref="E269:H269"/>
    <mergeCell ref="B270:B271"/>
    <mergeCell ref="C270:C271"/>
    <mergeCell ref="D270:D271"/>
    <mergeCell ref="E270:E271"/>
    <mergeCell ref="F270:H270"/>
    <mergeCell ref="A186:D186"/>
    <mergeCell ref="E186:H186"/>
    <mergeCell ref="B187:B188"/>
    <mergeCell ref="C187:C188"/>
    <mergeCell ref="D187:D188"/>
    <mergeCell ref="E187:E188"/>
    <mergeCell ref="F187:H187"/>
    <mergeCell ref="A133:D133"/>
    <mergeCell ref="F133:H133"/>
    <mergeCell ref="B134:B135"/>
    <mergeCell ref="C134:C135"/>
    <mergeCell ref="D134:D135"/>
    <mergeCell ref="E134:E135"/>
    <mergeCell ref="F134:H134"/>
    <mergeCell ref="A105:D105"/>
    <mergeCell ref="F105:H105"/>
    <mergeCell ref="B106:B107"/>
    <mergeCell ref="C106:C107"/>
    <mergeCell ref="D106:D107"/>
    <mergeCell ref="E106:E107"/>
    <mergeCell ref="F106:H106"/>
    <mergeCell ref="A88:D88"/>
    <mergeCell ref="F88:H88"/>
    <mergeCell ref="B89:B90"/>
    <mergeCell ref="C89:C90"/>
    <mergeCell ref="D89:D90"/>
    <mergeCell ref="E89:E90"/>
    <mergeCell ref="F89:H89"/>
    <mergeCell ref="A72:D72"/>
    <mergeCell ref="F72:H72"/>
    <mergeCell ref="B73:B74"/>
    <mergeCell ref="C73:C74"/>
    <mergeCell ref="D73:D74"/>
    <mergeCell ref="E73:E74"/>
    <mergeCell ref="F73:H73"/>
    <mergeCell ref="A2:D2"/>
    <mergeCell ref="F2:H2"/>
    <mergeCell ref="B3:B4"/>
    <mergeCell ref="C3:C4"/>
    <mergeCell ref="D3:D4"/>
    <mergeCell ref="E3:E4"/>
    <mergeCell ref="F3:H3"/>
    <mergeCell ref="D319:E319"/>
    <mergeCell ref="D320:E320"/>
    <mergeCell ref="D321:E321"/>
    <mergeCell ref="D313:E313"/>
    <mergeCell ref="D314:E314"/>
    <mergeCell ref="D315:E315"/>
    <mergeCell ref="D316:E316"/>
    <mergeCell ref="D317:E317"/>
    <mergeCell ref="D318:E318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81" r:id="rId1" display="E-mail: mail@infogas.ru"/>
    <hyperlink ref="C381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IV1">
      <selection activeCell="B19" sqref="B19"/>
    </sheetView>
  </sheetViews>
  <sheetFormatPr defaultColWidth="0" defaultRowHeight="12.75"/>
  <cols>
    <col min="1" max="1" width="9.125" style="664" hidden="1" customWidth="1"/>
    <col min="2" max="2" width="10.75390625" style="664" hidden="1" customWidth="1"/>
    <col min="3" max="3" width="10.125" style="664" hidden="1" customWidth="1"/>
    <col min="4" max="6" width="9.125" style="664" hidden="1" customWidth="1"/>
    <col min="7" max="17" width="9.125" style="663" hidden="1" customWidth="1"/>
    <col min="18" max="18" width="9.125" style="664" hidden="1" customWidth="1"/>
    <col min="19" max="19" width="10.875" style="664" hidden="1" customWidth="1"/>
    <col min="20" max="20" width="10.25390625" style="664" hidden="1" customWidth="1"/>
    <col min="21" max="22" width="8.875" style="664" hidden="1" customWidth="1"/>
    <col min="23" max="25" width="9.125" style="663" hidden="1" customWidth="1"/>
    <col min="26" max="31" width="8.875" style="664" hidden="1" customWidth="1"/>
    <col min="32" max="16384" width="0" style="664" hidden="1" customWidth="1"/>
  </cols>
  <sheetData>
    <row r="1" spans="1:12" ht="12" customHeight="1" thickBot="1">
      <c r="A1" s="661" t="s">
        <v>445</v>
      </c>
      <c r="B1" s="662">
        <v>0</v>
      </c>
      <c r="C1" s="663"/>
      <c r="E1" s="665" t="str">
        <f>CONCATENATE("месяцев от ",G2)</f>
        <v>месяцев от 05.09.2018</v>
      </c>
      <c r="F1" s="666">
        <f>12*(L1-I1)+(K1-H1)</f>
        <v>16</v>
      </c>
      <c r="G1" s="663">
        <f>DATEVALUE(G2)</f>
        <v>43348</v>
      </c>
      <c r="H1" s="667">
        <f>MONTH(G1)</f>
        <v>9</v>
      </c>
      <c r="I1" s="667">
        <f>YEAR(G1)</f>
        <v>2018</v>
      </c>
      <c r="J1" s="668">
        <f ca="1">TODAY()</f>
        <v>43847</v>
      </c>
      <c r="K1" s="667">
        <f>MONTH(J1)</f>
        <v>1</v>
      </c>
      <c r="L1" s="669">
        <f>YEAR(J1)</f>
        <v>2020</v>
      </c>
    </row>
    <row r="2" spans="1:14" ht="12" customHeight="1" thickBot="1">
      <c r="A2" s="670" t="s">
        <v>371</v>
      </c>
      <c r="B2" s="671">
        <f>СГИ!B1</f>
        <v>0.2</v>
      </c>
      <c r="C2" s="663"/>
      <c r="E2" s="672" t="s">
        <v>446</v>
      </c>
      <c r="F2" s="673">
        <f>(1+B1*F1)</f>
        <v>1</v>
      </c>
      <c r="G2" s="674" t="s">
        <v>539</v>
      </c>
      <c r="H2" s="675" t="s">
        <v>447</v>
      </c>
      <c r="I2" s="676"/>
      <c r="J2" s="677">
        <f ca="1">TODAY()</f>
        <v>43847</v>
      </c>
      <c r="K2" s="676" t="s">
        <v>448</v>
      </c>
      <c r="L2" s="678"/>
      <c r="N2" s="679"/>
    </row>
    <row r="3" spans="3:8" ht="12" customHeight="1" thickBot="1">
      <c r="C3" s="680"/>
      <c r="D3" s="681"/>
      <c r="E3" s="665" t="s">
        <v>449</v>
      </c>
      <c r="F3" s="682">
        <f>1+0.1*(L1-I1)</f>
        <v>1.2</v>
      </c>
      <c r="G3" s="683" t="s">
        <v>450</v>
      </c>
      <c r="H3" s="684"/>
    </row>
    <row r="4" spans="1:10" ht="12" customHeight="1" thickBot="1">
      <c r="A4" s="685" t="str">
        <f>CONCATENATE("цены без НДС, с учетом инфляции ",B1*100," %/мес")</f>
        <v>цены без НДС, с учетом инфляции 0 %/мес</v>
      </c>
      <c r="B4" s="686"/>
      <c r="C4" s="686"/>
      <c r="J4" s="687"/>
    </row>
    <row r="5" spans="1:19" ht="12" customHeight="1" thickBot="1">
      <c r="A5" s="671"/>
      <c r="B5" s="688" t="s">
        <v>320</v>
      </c>
      <c r="C5" s="689"/>
      <c r="D5" s="688" t="s">
        <v>451</v>
      </c>
      <c r="E5" s="690"/>
      <c r="R5" s="691" t="str">
        <f>R37</f>
        <v>цена канала</v>
      </c>
      <c r="S5" s="691" t="str">
        <f>S37</f>
        <v>цена корпуса</v>
      </c>
    </row>
    <row r="6" spans="1:18" ht="24.75" thickBot="1">
      <c r="A6" s="692" t="s">
        <v>323</v>
      </c>
      <c r="B6" s="680" t="s">
        <v>356</v>
      </c>
      <c r="C6" s="693" t="s">
        <v>318</v>
      </c>
      <c r="D6" s="680" t="s">
        <v>356</v>
      </c>
      <c r="E6" s="693" t="s">
        <v>318</v>
      </c>
      <c r="G6" s="694" t="s">
        <v>305</v>
      </c>
      <c r="H6" s="695" t="s">
        <v>320</v>
      </c>
      <c r="I6" s="694" t="s">
        <v>452</v>
      </c>
      <c r="J6" s="696" t="s">
        <v>453</v>
      </c>
      <c r="L6" s="697" t="s">
        <v>305</v>
      </c>
      <c r="M6" s="691" t="s">
        <v>320</v>
      </c>
      <c r="N6" s="694" t="s">
        <v>452</v>
      </c>
      <c r="O6" s="696" t="s">
        <v>453</v>
      </c>
      <c r="R6" s="698" t="str">
        <f>R38</f>
        <v>ОКА моноблок</v>
      </c>
    </row>
    <row r="7" spans="1:19" ht="27" customHeight="1" thickBot="1">
      <c r="A7" s="699" t="str">
        <f aca="true" t="shared" si="0" ref="A7:A23">A39</f>
        <v>O2</v>
      </c>
      <c r="B7" s="700">
        <f aca="true" t="shared" si="1" ref="B7:E8">ROUND(B39*$F$2,-1)</f>
        <v>8760</v>
      </c>
      <c r="C7" s="690">
        <f t="shared" si="1"/>
        <v>9390</v>
      </c>
      <c r="D7" s="701">
        <f t="shared" si="1"/>
        <v>2270</v>
      </c>
      <c r="E7" s="690">
        <f t="shared" si="1"/>
        <v>2270</v>
      </c>
      <c r="G7" s="702" t="s">
        <v>454</v>
      </c>
      <c r="H7" s="703">
        <v>7670</v>
      </c>
      <c r="I7" s="703">
        <v>2340</v>
      </c>
      <c r="J7" s="704" t="s">
        <v>453</v>
      </c>
      <c r="L7" s="702" t="s">
        <v>454</v>
      </c>
      <c r="M7" s="705">
        <v>7860</v>
      </c>
      <c r="N7" s="705">
        <v>2340</v>
      </c>
      <c r="O7" s="704" t="s">
        <v>453</v>
      </c>
      <c r="Q7" s="698" t="str">
        <f aca="true" t="shared" si="2" ref="Q7:Q23">Q39</f>
        <v>O2</v>
      </c>
      <c r="R7" s="690">
        <f aca="true" t="shared" si="3" ref="R7:S23">ROUND(R39*$F$2,-1)</f>
        <v>8760</v>
      </c>
      <c r="S7" s="690">
        <f t="shared" si="3"/>
        <v>2270</v>
      </c>
    </row>
    <row r="8" spans="1:19" ht="12.75" customHeight="1" thickBot="1">
      <c r="A8" s="699" t="str">
        <f t="shared" si="0"/>
        <v>H2</v>
      </c>
      <c r="B8" s="706">
        <f t="shared" si="1"/>
        <v>7450</v>
      </c>
      <c r="C8" s="707">
        <f t="shared" si="1"/>
        <v>7490</v>
      </c>
      <c r="D8" s="708">
        <f t="shared" si="1"/>
        <v>2270</v>
      </c>
      <c r="E8" s="707">
        <f t="shared" si="1"/>
        <v>2270</v>
      </c>
      <c r="G8" s="709" t="s">
        <v>455</v>
      </c>
      <c r="H8" s="703">
        <v>7670</v>
      </c>
      <c r="I8" s="703">
        <v>2340</v>
      </c>
      <c r="J8" s="710" t="s">
        <v>453</v>
      </c>
      <c r="L8" s="709" t="s">
        <v>455</v>
      </c>
      <c r="M8" s="705">
        <v>7860</v>
      </c>
      <c r="N8" s="705">
        <v>2340</v>
      </c>
      <c r="O8" s="710" t="s">
        <v>453</v>
      </c>
      <c r="Q8" s="711" t="str">
        <f t="shared" si="2"/>
        <v>H2</v>
      </c>
      <c r="R8" s="690">
        <f t="shared" si="3"/>
        <v>7450</v>
      </c>
      <c r="S8" s="690">
        <f t="shared" si="3"/>
        <v>2270</v>
      </c>
    </row>
    <row r="9" spans="1:19" ht="28.5" customHeight="1" thickBot="1">
      <c r="A9" s="699" t="str">
        <f t="shared" si="0"/>
        <v>CH4</v>
      </c>
      <c r="B9" s="706">
        <f aca="true" t="shared" si="4" ref="B9:E19">ROUND(B41*$F$2,-1)</f>
        <v>7450</v>
      </c>
      <c r="C9" s="707">
        <f t="shared" si="4"/>
        <v>7490</v>
      </c>
      <c r="D9" s="706">
        <f t="shared" si="4"/>
        <v>2270</v>
      </c>
      <c r="E9" s="707">
        <f t="shared" si="4"/>
        <v>2270</v>
      </c>
      <c r="G9" s="712" t="s">
        <v>456</v>
      </c>
      <c r="H9" s="703">
        <v>7670</v>
      </c>
      <c r="I9" s="703">
        <v>2340</v>
      </c>
      <c r="J9" s="710" t="s">
        <v>453</v>
      </c>
      <c r="L9" s="712" t="s">
        <v>456</v>
      </c>
      <c r="M9" s="705">
        <v>7860</v>
      </c>
      <c r="N9" s="705">
        <v>2340</v>
      </c>
      <c r="O9" s="710" t="s">
        <v>453</v>
      </c>
      <c r="Q9" s="711" t="str">
        <f t="shared" si="2"/>
        <v>CH4</v>
      </c>
      <c r="R9" s="690">
        <f t="shared" si="3"/>
        <v>7450</v>
      </c>
      <c r="S9" s="690">
        <f t="shared" si="3"/>
        <v>2270</v>
      </c>
    </row>
    <row r="10" spans="1:19" ht="12.75" customHeight="1" thickBot="1">
      <c r="A10" s="699" t="str">
        <f t="shared" si="0"/>
        <v>C3H8</v>
      </c>
      <c r="B10" s="706">
        <f t="shared" si="4"/>
        <v>7450</v>
      </c>
      <c r="C10" s="707">
        <f t="shared" si="4"/>
        <v>7490</v>
      </c>
      <c r="D10" s="706">
        <f t="shared" si="4"/>
        <v>2270</v>
      </c>
      <c r="E10" s="707">
        <f t="shared" si="4"/>
        <v>2270</v>
      </c>
      <c r="G10" s="709" t="s">
        <v>36</v>
      </c>
      <c r="H10" s="705">
        <v>20700</v>
      </c>
      <c r="I10" s="705">
        <v>2340</v>
      </c>
      <c r="J10" s="710" t="s">
        <v>453</v>
      </c>
      <c r="L10" s="709" t="s">
        <v>36</v>
      </c>
      <c r="M10" s="705">
        <v>20700</v>
      </c>
      <c r="N10" s="705">
        <v>2340</v>
      </c>
      <c r="O10" s="710" t="s">
        <v>453</v>
      </c>
      <c r="Q10" s="711" t="str">
        <f t="shared" si="2"/>
        <v>CH4 с зондом</v>
      </c>
      <c r="R10" s="690">
        <f t="shared" si="3"/>
        <v>8600</v>
      </c>
      <c r="S10" s="690">
        <f t="shared" si="3"/>
        <v>3670</v>
      </c>
    </row>
    <row r="11" spans="1:19" ht="23.25" customHeight="1" thickBot="1">
      <c r="A11" s="699" t="str">
        <f t="shared" si="0"/>
        <v>C6H14</v>
      </c>
      <c r="B11" s="706">
        <f t="shared" si="4"/>
        <v>7450</v>
      </c>
      <c r="C11" s="707">
        <f t="shared" si="4"/>
        <v>7490</v>
      </c>
      <c r="D11" s="708">
        <f t="shared" si="4"/>
        <v>2270</v>
      </c>
      <c r="E11" s="707">
        <f t="shared" si="4"/>
        <v>2270</v>
      </c>
      <c r="G11" s="709" t="s">
        <v>457</v>
      </c>
      <c r="H11" s="705">
        <v>10480</v>
      </c>
      <c r="I11" s="705">
        <v>2340</v>
      </c>
      <c r="J11" s="710" t="s">
        <v>453</v>
      </c>
      <c r="L11" s="713" t="s">
        <v>458</v>
      </c>
      <c r="M11" s="714">
        <v>10480</v>
      </c>
      <c r="N11" s="714">
        <v>2340</v>
      </c>
      <c r="O11" s="715" t="s">
        <v>453</v>
      </c>
      <c r="Q11" s="711" t="str">
        <f t="shared" si="2"/>
        <v>C3H8</v>
      </c>
      <c r="R11" s="690">
        <f t="shared" si="3"/>
        <v>7450</v>
      </c>
      <c r="S11" s="690">
        <f t="shared" si="3"/>
        <v>2270</v>
      </c>
    </row>
    <row r="12" spans="1:19" ht="28.5" customHeight="1" thickBot="1">
      <c r="A12" s="699" t="str">
        <f t="shared" si="0"/>
        <v>CHir</v>
      </c>
      <c r="B12" s="706">
        <f t="shared" si="4"/>
        <v>19710</v>
      </c>
      <c r="C12" s="707">
        <f t="shared" si="4"/>
        <v>19710</v>
      </c>
      <c r="D12" s="708">
        <f t="shared" si="4"/>
        <v>2270</v>
      </c>
      <c r="E12" s="707">
        <f t="shared" si="4"/>
        <v>2270</v>
      </c>
      <c r="G12" s="716" t="s">
        <v>335</v>
      </c>
      <c r="H12" s="705">
        <v>7670</v>
      </c>
      <c r="I12" s="705">
        <v>2340</v>
      </c>
      <c r="J12" s="710" t="s">
        <v>453</v>
      </c>
      <c r="L12" s="709" t="s">
        <v>335</v>
      </c>
      <c r="M12" s="705">
        <v>7860</v>
      </c>
      <c r="N12" s="705">
        <v>2340</v>
      </c>
      <c r="O12" s="710" t="s">
        <v>453</v>
      </c>
      <c r="Q12" s="711" t="str">
        <f t="shared" si="2"/>
        <v>C6H14</v>
      </c>
      <c r="R12" s="690">
        <f t="shared" si="3"/>
        <v>7450</v>
      </c>
      <c r="S12" s="690">
        <f t="shared" si="3"/>
        <v>2270</v>
      </c>
    </row>
    <row r="13" spans="1:19" ht="22.5" customHeight="1" thickBot="1">
      <c r="A13" s="699" t="str">
        <f t="shared" si="0"/>
        <v>CO2</v>
      </c>
      <c r="B13" s="706">
        <f t="shared" si="4"/>
        <v>19770</v>
      </c>
      <c r="C13" s="707">
        <f t="shared" si="4"/>
        <v>19770</v>
      </c>
      <c r="D13" s="708">
        <f t="shared" si="4"/>
        <v>2120</v>
      </c>
      <c r="E13" s="720">
        <f t="shared" si="4"/>
        <v>2120</v>
      </c>
      <c r="G13" s="716" t="s">
        <v>459</v>
      </c>
      <c r="H13" s="705">
        <v>10480</v>
      </c>
      <c r="I13" s="705">
        <v>2340</v>
      </c>
      <c r="J13" s="710" t="s">
        <v>453</v>
      </c>
      <c r="L13" s="717" t="s">
        <v>460</v>
      </c>
      <c r="M13" s="705">
        <v>10480</v>
      </c>
      <c r="N13" s="705">
        <v>2340</v>
      </c>
      <c r="O13" s="710" t="s">
        <v>453</v>
      </c>
      <c r="Q13" s="711" t="str">
        <f t="shared" si="2"/>
        <v>CHir</v>
      </c>
      <c r="R13" s="690">
        <f t="shared" si="3"/>
        <v>19710</v>
      </c>
      <c r="S13" s="690">
        <f t="shared" si="3"/>
        <v>2270</v>
      </c>
    </row>
    <row r="14" spans="1:19" ht="23.25" customHeight="1" thickBot="1">
      <c r="A14" s="699" t="str">
        <f t="shared" si="0"/>
        <v>CO</v>
      </c>
      <c r="B14" s="706">
        <f t="shared" si="4"/>
        <v>10180</v>
      </c>
      <c r="C14" s="707">
        <f t="shared" si="4"/>
        <v>10180</v>
      </c>
      <c r="D14" s="708">
        <f t="shared" si="4"/>
        <v>2270</v>
      </c>
      <c r="E14" s="707">
        <f t="shared" si="4"/>
        <v>2270</v>
      </c>
      <c r="G14" s="718" t="s">
        <v>51</v>
      </c>
      <c r="H14" s="719">
        <f>ПГ!B23</f>
        <v>21820</v>
      </c>
      <c r="I14" s="719">
        <f>ПГ!D23</f>
        <v>2230</v>
      </c>
      <c r="J14" s="710" t="s">
        <v>453</v>
      </c>
      <c r="L14" s="718" t="s">
        <v>51</v>
      </c>
      <c r="M14" s="719">
        <f>ПГ!C23</f>
        <v>21820</v>
      </c>
      <c r="N14" s="719">
        <f>ПГ!E23</f>
        <v>2230</v>
      </c>
      <c r="O14" s="710" t="s">
        <v>453</v>
      </c>
      <c r="Q14" s="711" t="str">
        <f t="shared" si="2"/>
        <v>CO</v>
      </c>
      <c r="R14" s="690">
        <f t="shared" si="3"/>
        <v>10180</v>
      </c>
      <c r="S14" s="690">
        <f t="shared" si="3"/>
        <v>2270</v>
      </c>
    </row>
    <row r="15" spans="1:19" ht="24.75" customHeight="1" thickBot="1">
      <c r="A15" s="699" t="str">
        <f t="shared" si="0"/>
        <v>H2S</v>
      </c>
      <c r="B15" s="706">
        <f t="shared" si="4"/>
        <v>10180</v>
      </c>
      <c r="C15" s="707">
        <f t="shared" si="4"/>
        <v>10180</v>
      </c>
      <c r="D15" s="708">
        <f t="shared" si="4"/>
        <v>2270</v>
      </c>
      <c r="E15" s="707">
        <f t="shared" si="4"/>
        <v>2270</v>
      </c>
      <c r="G15" s="709" t="s">
        <v>461</v>
      </c>
      <c r="H15" s="705">
        <v>7670</v>
      </c>
      <c r="I15" s="705">
        <v>2340</v>
      </c>
      <c r="J15" s="710" t="s">
        <v>453</v>
      </c>
      <c r="L15" s="709" t="s">
        <v>462</v>
      </c>
      <c r="M15" s="705">
        <v>24640</v>
      </c>
      <c r="N15" s="705">
        <v>2340</v>
      </c>
      <c r="O15" s="710" t="s">
        <v>453</v>
      </c>
      <c r="Q15" s="711" t="str">
        <f t="shared" si="2"/>
        <v>H2S</v>
      </c>
      <c r="R15" s="690">
        <f t="shared" si="3"/>
        <v>10180</v>
      </c>
      <c r="S15" s="690">
        <f t="shared" si="3"/>
        <v>2270</v>
      </c>
    </row>
    <row r="16" spans="1:19" ht="24.75" customHeight="1" thickBot="1">
      <c r="A16" s="699" t="str">
        <f t="shared" si="0"/>
        <v>SO2</v>
      </c>
      <c r="B16" s="706">
        <f t="shared" si="4"/>
        <v>9980</v>
      </c>
      <c r="C16" s="707">
        <f t="shared" si="4"/>
        <v>9980</v>
      </c>
      <c r="D16" s="706">
        <f t="shared" si="4"/>
        <v>2230</v>
      </c>
      <c r="E16" s="707">
        <f t="shared" si="4"/>
        <v>2230</v>
      </c>
      <c r="G16" s="709" t="s">
        <v>48</v>
      </c>
      <c r="H16" s="705">
        <v>20110</v>
      </c>
      <c r="I16" s="705">
        <v>2340</v>
      </c>
      <c r="J16" s="710" t="s">
        <v>453</v>
      </c>
      <c r="L16" s="709" t="s">
        <v>461</v>
      </c>
      <c r="M16" s="705">
        <v>7860</v>
      </c>
      <c r="N16" s="705">
        <v>2340</v>
      </c>
      <c r="O16" s="710" t="s">
        <v>453</v>
      </c>
      <c r="Q16" s="711" t="str">
        <f t="shared" si="2"/>
        <v>SO2</v>
      </c>
      <c r="R16" s="690">
        <f t="shared" si="3"/>
        <v>9980</v>
      </c>
      <c r="S16" s="690">
        <f t="shared" si="3"/>
        <v>2230</v>
      </c>
    </row>
    <row r="17" spans="1:19" ht="24" customHeight="1" thickBot="1">
      <c r="A17" s="699" t="str">
        <f t="shared" si="0"/>
        <v>Cl2</v>
      </c>
      <c r="B17" s="706">
        <f t="shared" si="4"/>
        <v>9980</v>
      </c>
      <c r="C17" s="707">
        <f t="shared" si="4"/>
        <v>9980</v>
      </c>
      <c r="D17" s="706">
        <f t="shared" si="4"/>
        <v>2230</v>
      </c>
      <c r="E17" s="707">
        <f t="shared" si="4"/>
        <v>2230</v>
      </c>
      <c r="G17" s="709" t="s">
        <v>59</v>
      </c>
      <c r="H17" s="705">
        <v>11630</v>
      </c>
      <c r="I17" s="705">
        <v>2110</v>
      </c>
      <c r="J17" s="710" t="s">
        <v>453</v>
      </c>
      <c r="L17" s="709" t="s">
        <v>117</v>
      </c>
      <c r="M17" s="705">
        <v>24640</v>
      </c>
      <c r="N17" s="705">
        <v>2340</v>
      </c>
      <c r="O17" s="710"/>
      <c r="Q17" s="711" t="str">
        <f t="shared" si="2"/>
        <v>Cl2</v>
      </c>
      <c r="R17" s="690">
        <f t="shared" si="3"/>
        <v>9980</v>
      </c>
      <c r="S17" s="690">
        <f t="shared" si="3"/>
        <v>2230</v>
      </c>
    </row>
    <row r="18" spans="1:19" ht="24.75" customHeight="1" thickBot="1">
      <c r="A18" s="699" t="str">
        <f t="shared" si="0"/>
        <v>NH3</v>
      </c>
      <c r="B18" s="706">
        <f t="shared" si="4"/>
        <v>11080</v>
      </c>
      <c r="C18" s="707">
        <f t="shared" si="4"/>
        <v>11080</v>
      </c>
      <c r="D18" s="708">
        <f t="shared" si="4"/>
        <v>2010</v>
      </c>
      <c r="E18" s="720">
        <f t="shared" si="4"/>
        <v>2010</v>
      </c>
      <c r="G18" s="721" t="s">
        <v>61</v>
      </c>
      <c r="H18" s="705">
        <v>12140</v>
      </c>
      <c r="I18" s="705">
        <v>2340</v>
      </c>
      <c r="J18" s="710" t="s">
        <v>453</v>
      </c>
      <c r="L18" s="722" t="s">
        <v>59</v>
      </c>
      <c r="M18" s="705">
        <v>11630</v>
      </c>
      <c r="N18" s="705">
        <v>2110</v>
      </c>
      <c r="O18" s="710" t="s">
        <v>453</v>
      </c>
      <c r="Q18" s="711" t="str">
        <f t="shared" si="2"/>
        <v>NH3</v>
      </c>
      <c r="R18" s="690">
        <f t="shared" si="3"/>
        <v>11080</v>
      </c>
      <c r="S18" s="690">
        <f t="shared" si="3"/>
        <v>2010</v>
      </c>
    </row>
    <row r="19" spans="1:19" ht="12.75" customHeight="1" thickBot="1">
      <c r="A19" s="699" t="str">
        <f t="shared" si="0"/>
        <v>HF</v>
      </c>
      <c r="B19" s="706">
        <f t="shared" si="4"/>
        <v>23470</v>
      </c>
      <c r="C19" s="707">
        <f t="shared" si="4"/>
        <v>23470</v>
      </c>
      <c r="D19" s="708">
        <f t="shared" si="4"/>
        <v>2230</v>
      </c>
      <c r="E19" s="720">
        <f t="shared" si="4"/>
        <v>2230</v>
      </c>
      <c r="G19" s="723" t="s">
        <v>314</v>
      </c>
      <c r="H19" s="724">
        <v>8810</v>
      </c>
      <c r="I19" s="724">
        <v>2340</v>
      </c>
      <c r="J19" s="725" t="s">
        <v>453</v>
      </c>
      <c r="L19" s="726" t="s">
        <v>314</v>
      </c>
      <c r="M19" s="705">
        <v>9460</v>
      </c>
      <c r="N19" s="705">
        <v>2340</v>
      </c>
      <c r="O19" s="710" t="s">
        <v>453</v>
      </c>
      <c r="Q19" s="711" t="str">
        <f t="shared" si="2"/>
        <v>NO2</v>
      </c>
      <c r="R19" s="690">
        <f t="shared" si="3"/>
        <v>11560</v>
      </c>
      <c r="S19" s="690">
        <f t="shared" si="3"/>
        <v>2230</v>
      </c>
    </row>
    <row r="20" spans="1:19" ht="12.75" customHeight="1" thickBot="1">
      <c r="A20" s="699" t="str">
        <f t="shared" si="0"/>
        <v>NO2</v>
      </c>
      <c r="B20" s="706">
        <f>ROUND(B52*$F$2,-1)</f>
        <v>11560</v>
      </c>
      <c r="C20" s="786" t="str">
        <f>"--"</f>
        <v>--</v>
      </c>
      <c r="D20" s="708">
        <f>ROUND(D52*$F$2,-1)</f>
        <v>2230</v>
      </c>
      <c r="E20" s="786" t="str">
        <f>"--"</f>
        <v>--</v>
      </c>
      <c r="G20" s="727" t="str">
        <f>A30</f>
        <v>зонд 0.5, 0.75, 1.0 м</v>
      </c>
      <c r="H20" s="724">
        <v>5650</v>
      </c>
      <c r="I20" s="728"/>
      <c r="L20" s="729" t="s">
        <v>464</v>
      </c>
      <c r="M20" s="730" t="str">
        <f>ПГ!C20</f>
        <v>--</v>
      </c>
      <c r="N20" s="730" t="str">
        <f>ПГ!E20</f>
        <v>--</v>
      </c>
      <c r="O20" s="731" t="s">
        <v>453</v>
      </c>
      <c r="Q20" s="711" t="str">
        <f t="shared" si="2"/>
        <v>HCl</v>
      </c>
      <c r="R20" s="690">
        <f t="shared" si="3"/>
        <v>17150</v>
      </c>
      <c r="S20" s="690">
        <f t="shared" si="3"/>
        <v>2230</v>
      </c>
    </row>
    <row r="21" spans="1:19" ht="24.75" customHeight="1" thickBot="1">
      <c r="A21" s="699" t="str">
        <f t="shared" si="0"/>
        <v>HCl</v>
      </c>
      <c r="B21" s="706">
        <f>ROUND(B53*$F$2,-1)</f>
        <v>17150</v>
      </c>
      <c r="C21" s="786" t="str">
        <f>"--"</f>
        <v>--</v>
      </c>
      <c r="D21" s="708">
        <f>ROUND(D53*$F$2,-1)</f>
        <v>2230</v>
      </c>
      <c r="E21" s="786" t="str">
        <f>"--"</f>
        <v>--</v>
      </c>
      <c r="F21" s="664" t="s">
        <v>117</v>
      </c>
      <c r="Q21" s="736" t="str">
        <f t="shared" si="2"/>
        <v>HF</v>
      </c>
      <c r="R21" s="737">
        <f t="shared" si="3"/>
        <v>23470</v>
      </c>
      <c r="S21" s="737">
        <f t="shared" si="3"/>
        <v>2230</v>
      </c>
    </row>
    <row r="22" spans="1:19" ht="24" customHeight="1" thickBot="1">
      <c r="A22" s="699" t="str">
        <f t="shared" si="0"/>
        <v>O3</v>
      </c>
      <c r="B22" s="706">
        <f>ROUND(B54*$F$2,-1)</f>
        <v>17000</v>
      </c>
      <c r="C22" s="707">
        <f>ROUND(C54*$F$2,-1)</f>
        <v>17000</v>
      </c>
      <c r="D22" s="708">
        <f>ROUND(D54*$F$2,-1)</f>
        <v>2230</v>
      </c>
      <c r="E22" s="707">
        <f>ROUND(E54*$F$2,-1)</f>
        <v>2230</v>
      </c>
      <c r="G22" s="732" t="s">
        <v>465</v>
      </c>
      <c r="H22" s="733">
        <v>3310</v>
      </c>
      <c r="J22" s="734"/>
      <c r="L22" s="732" t="s">
        <v>465</v>
      </c>
      <c r="M22" s="735">
        <v>3310</v>
      </c>
      <c r="Q22" s="736" t="str">
        <f t="shared" si="2"/>
        <v>CO2</v>
      </c>
      <c r="R22" s="737">
        <f t="shared" si="3"/>
        <v>19770</v>
      </c>
      <c r="S22" s="737">
        <f t="shared" si="3"/>
        <v>2120</v>
      </c>
    </row>
    <row r="23" spans="1:19" ht="23.25" customHeight="1" thickBot="1">
      <c r="A23" s="699" t="str">
        <f t="shared" si="0"/>
        <v>F2</v>
      </c>
      <c r="B23" s="706">
        <f>ROUND(B55*$F$2,-1)</f>
        <v>21820</v>
      </c>
      <c r="C23" s="739">
        <f>ROUND(C55*$F$2,-1)</f>
        <v>21820</v>
      </c>
      <c r="D23" s="740">
        <f>ROUND(D55*$F$2,-1)</f>
        <v>2230</v>
      </c>
      <c r="E23" s="739">
        <f>ROUND(E55*$F$2,-1)</f>
        <v>2230</v>
      </c>
      <c r="G23" s="738" t="s">
        <v>466</v>
      </c>
      <c r="H23" s="733">
        <v>4410</v>
      </c>
      <c r="L23" s="738" t="s">
        <v>466</v>
      </c>
      <c r="M23" s="735">
        <v>4410</v>
      </c>
      <c r="Q23" s="736" t="str">
        <f t="shared" si="2"/>
        <v>F2</v>
      </c>
      <c r="R23" s="737">
        <f t="shared" si="3"/>
        <v>21820</v>
      </c>
      <c r="S23" s="737">
        <f t="shared" si="3"/>
        <v>2230</v>
      </c>
    </row>
    <row r="24" spans="2:13" ht="26.25" customHeight="1" thickBot="1">
      <c r="B24" s="743" t="str">
        <f aca="true" t="shared" si="5" ref="B24:B29">B56</f>
        <v>взрывозащита,</v>
      </c>
      <c r="G24" s="741" t="s">
        <v>467</v>
      </c>
      <c r="H24" s="733">
        <v>5510</v>
      </c>
      <c r="L24" s="741" t="s">
        <v>467</v>
      </c>
      <c r="M24" s="742">
        <v>5510</v>
      </c>
    </row>
    <row r="25" spans="2:13" ht="24" customHeight="1" thickBot="1">
      <c r="B25" s="745" t="str">
        <f t="shared" si="5"/>
        <v>число каналов:</v>
      </c>
      <c r="G25" s="744" t="s">
        <v>468</v>
      </c>
      <c r="H25" s="733">
        <v>6620</v>
      </c>
      <c r="L25" s="744" t="s">
        <v>468</v>
      </c>
      <c r="M25" s="742">
        <v>6620</v>
      </c>
    </row>
    <row r="26" spans="1:3" ht="23.25" customHeight="1" thickBot="1">
      <c r="A26" s="680" t="s">
        <v>465</v>
      </c>
      <c r="B26" s="746">
        <f t="shared" si="5"/>
        <v>1</v>
      </c>
      <c r="C26" s="747">
        <f>ROUND(C58*$F$2,-1)</f>
        <v>3210</v>
      </c>
    </row>
    <row r="27" spans="1:15" ht="23.25" customHeight="1" thickBot="1">
      <c r="A27" s="681" t="s">
        <v>466</v>
      </c>
      <c r="B27" s="746">
        <f t="shared" si="5"/>
        <v>2</v>
      </c>
      <c r="C27" s="749">
        <f>ROUND(C59*$F$2,-1)</f>
        <v>4280</v>
      </c>
      <c r="G27" s="748" t="str">
        <f>CONCATENATE("инфляционная наценка добавлена с ",ПГ!G2)</f>
        <v>инфляционная наценка добавлена с 05.09.2018</v>
      </c>
      <c r="H27" s="683"/>
      <c r="I27" s="683"/>
      <c r="J27" s="684"/>
      <c r="L27" s="748"/>
      <c r="M27" s="683"/>
      <c r="N27" s="683"/>
      <c r="O27" s="684"/>
    </row>
    <row r="28" spans="1:3" ht="13.5" thickBot="1">
      <c r="A28" s="693" t="s">
        <v>467</v>
      </c>
      <c r="B28" s="746">
        <f t="shared" si="5"/>
        <v>3</v>
      </c>
      <c r="C28" s="749">
        <f>ROUND(C60*$F$2,-1)</f>
        <v>5360</v>
      </c>
    </row>
    <row r="29" spans="1:7" ht="13.5" thickBot="1">
      <c r="A29" s="693" t="s">
        <v>468</v>
      </c>
      <c r="B29" s="750">
        <f t="shared" si="5"/>
        <v>4</v>
      </c>
      <c r="C29" s="751">
        <f>ROUND(C61*$F$2,-1)</f>
        <v>6430</v>
      </c>
      <c r="G29" s="664" t="s">
        <v>470</v>
      </c>
    </row>
    <row r="30" spans="1:7" ht="12.75">
      <c r="A30" s="753" t="str">
        <f>A62</f>
        <v>зонд 0.5, 0.75, 1.0 м</v>
      </c>
      <c r="B30" s="706">
        <f>ROUND(B62*$F$2,-1)</f>
        <v>5380</v>
      </c>
      <c r="G30" s="752" t="s">
        <v>471</v>
      </c>
    </row>
    <row r="31" spans="1:7" ht="12.75">
      <c r="A31" s="664" t="s">
        <v>774</v>
      </c>
      <c r="C31" s="664">
        <v>40</v>
      </c>
      <c r="D31" s="664" t="s">
        <v>775</v>
      </c>
      <c r="G31" s="752" t="s">
        <v>472</v>
      </c>
    </row>
    <row r="32" ht="12.75">
      <c r="G32" s="752" t="s">
        <v>473</v>
      </c>
    </row>
    <row r="33" ht="12.75">
      <c r="G33" s="752" t="s">
        <v>474</v>
      </c>
    </row>
    <row r="36" ht="13.5" thickBot="1"/>
    <row r="37" spans="2:19" ht="24.75" thickBot="1">
      <c r="B37" s="754" t="str">
        <f>CONCATENATE("цена канала на ",$G$2)</f>
        <v>цена канала на 05.09.2018</v>
      </c>
      <c r="C37" s="755"/>
      <c r="D37" s="754" t="str">
        <f>CONCATENATE("цена корпуса на ",$G$2)</f>
        <v>цена корпуса на 05.09.2018</v>
      </c>
      <c r="E37" s="693"/>
      <c r="R37" s="691" t="s">
        <v>320</v>
      </c>
      <c r="S37" s="691" t="s">
        <v>451</v>
      </c>
    </row>
    <row r="38" spans="1:18" ht="22.5" customHeight="1" thickBot="1">
      <c r="A38" s="692" t="s">
        <v>323</v>
      </c>
      <c r="B38" s="706" t="s">
        <v>356</v>
      </c>
      <c r="C38" s="707" t="s">
        <v>318</v>
      </c>
      <c r="D38" s="756" t="s">
        <v>356</v>
      </c>
      <c r="E38" s="707" t="s">
        <v>318</v>
      </c>
      <c r="R38" s="756" t="s">
        <v>485</v>
      </c>
    </row>
    <row r="39" spans="1:24" ht="28.5" customHeight="1">
      <c r="A39" s="699" t="s">
        <v>392</v>
      </c>
      <c r="B39" s="760">
        <v>8760</v>
      </c>
      <c r="C39" s="761">
        <v>9390</v>
      </c>
      <c r="D39" s="762">
        <v>2270</v>
      </c>
      <c r="E39" s="762">
        <v>2270</v>
      </c>
      <c r="F39" s="757">
        <v>43234</v>
      </c>
      <c r="G39" s="758" t="s">
        <v>532</v>
      </c>
      <c r="Q39" s="664" t="s">
        <v>392</v>
      </c>
      <c r="R39" s="762">
        <f>B39</f>
        <v>8760</v>
      </c>
      <c r="S39" s="762">
        <v>2270</v>
      </c>
      <c r="T39" s="759" t="s">
        <v>542</v>
      </c>
      <c r="X39" s="285" t="s">
        <v>331</v>
      </c>
    </row>
    <row r="40" spans="1:24" ht="32.25" customHeight="1">
      <c r="A40" s="699" t="s">
        <v>333</v>
      </c>
      <c r="B40" s="762">
        <v>7450</v>
      </c>
      <c r="C40" s="764">
        <v>7490</v>
      </c>
      <c r="D40" s="760">
        <v>2270</v>
      </c>
      <c r="E40" s="760">
        <v>2270</v>
      </c>
      <c r="G40" s="763"/>
      <c r="Q40" s="664" t="s">
        <v>333</v>
      </c>
      <c r="R40" s="762">
        <f>B40</f>
        <v>7450</v>
      </c>
      <c r="S40" s="762">
        <v>2270</v>
      </c>
      <c r="T40" s="758"/>
      <c r="X40" s="224" t="s">
        <v>334</v>
      </c>
    </row>
    <row r="41" spans="1:24" ht="15" thickBot="1">
      <c r="A41" s="699" t="s">
        <v>284</v>
      </c>
      <c r="B41" s="762">
        <v>7450</v>
      </c>
      <c r="C41" s="761">
        <v>7490</v>
      </c>
      <c r="D41" s="762">
        <v>2270</v>
      </c>
      <c r="E41" s="762">
        <v>2270</v>
      </c>
      <c r="F41" s="758"/>
      <c r="Q41" s="664" t="s">
        <v>284</v>
      </c>
      <c r="R41" s="762">
        <f>B41</f>
        <v>7450</v>
      </c>
      <c r="S41" s="762">
        <v>2270</v>
      </c>
      <c r="X41" s="224" t="s">
        <v>337</v>
      </c>
    </row>
    <row r="42" spans="1:24" ht="15" thickBot="1">
      <c r="A42" s="765" t="s">
        <v>286</v>
      </c>
      <c r="B42" s="762">
        <v>7450</v>
      </c>
      <c r="C42" s="764">
        <v>7490</v>
      </c>
      <c r="D42" s="760">
        <v>2270</v>
      </c>
      <c r="E42" s="760">
        <v>2270</v>
      </c>
      <c r="F42" s="758"/>
      <c r="Q42" s="664" t="s">
        <v>484</v>
      </c>
      <c r="R42" s="766">
        <f>4500+4100</f>
        <v>8600</v>
      </c>
      <c r="S42" s="766">
        <v>3670</v>
      </c>
      <c r="X42" s="224" t="s">
        <v>483</v>
      </c>
    </row>
    <row r="43" spans="1:24" ht="14.25">
      <c r="A43" s="767" t="s">
        <v>287</v>
      </c>
      <c r="B43" s="762">
        <v>7450</v>
      </c>
      <c r="C43" s="764">
        <v>7490</v>
      </c>
      <c r="D43" s="760">
        <v>2270</v>
      </c>
      <c r="E43" s="760">
        <v>2270</v>
      </c>
      <c r="F43" s="758"/>
      <c r="Q43" s="664" t="s">
        <v>286</v>
      </c>
      <c r="R43" s="762">
        <f>B42</f>
        <v>7450</v>
      </c>
      <c r="S43" s="762">
        <v>2270</v>
      </c>
      <c r="T43" s="758"/>
      <c r="X43" s="224" t="s">
        <v>338</v>
      </c>
    </row>
    <row r="44" spans="1:24" ht="14.25">
      <c r="A44" s="768" t="s">
        <v>469</v>
      </c>
      <c r="B44" s="762">
        <v>19710</v>
      </c>
      <c r="C44" s="764">
        <v>19710</v>
      </c>
      <c r="D44" s="760">
        <v>2270</v>
      </c>
      <c r="E44" s="760">
        <v>2270</v>
      </c>
      <c r="F44" s="758"/>
      <c r="Q44" s="664" t="s">
        <v>287</v>
      </c>
      <c r="R44" s="762">
        <f>B43</f>
        <v>7450</v>
      </c>
      <c r="S44" s="762">
        <v>2270</v>
      </c>
      <c r="X44" s="224" t="s">
        <v>339</v>
      </c>
    </row>
    <row r="45" spans="1:24" ht="12.75">
      <c r="A45" s="767" t="s">
        <v>384</v>
      </c>
      <c r="B45" s="760">
        <v>19770</v>
      </c>
      <c r="C45" s="761">
        <v>19770</v>
      </c>
      <c r="D45" s="762">
        <v>2120</v>
      </c>
      <c r="E45" s="762">
        <v>2120</v>
      </c>
      <c r="F45" s="758"/>
      <c r="Q45" s="769" t="s">
        <v>469</v>
      </c>
      <c r="R45" s="762">
        <f>B44</f>
        <v>19710</v>
      </c>
      <c r="S45" s="762">
        <v>2270</v>
      </c>
      <c r="X45" s="522" t="s">
        <v>36</v>
      </c>
    </row>
    <row r="46" spans="1:24" ht="12.75">
      <c r="A46" s="699" t="s">
        <v>136</v>
      </c>
      <c r="B46" s="762">
        <v>10180</v>
      </c>
      <c r="C46" s="764">
        <v>10180</v>
      </c>
      <c r="D46" s="762">
        <v>2270</v>
      </c>
      <c r="E46" s="762">
        <v>2270</v>
      </c>
      <c r="F46" s="758"/>
      <c r="Q46" s="664" t="s">
        <v>136</v>
      </c>
      <c r="R46" s="762">
        <f>B46</f>
        <v>10180</v>
      </c>
      <c r="S46" s="762">
        <v>2270</v>
      </c>
      <c r="X46" s="224" t="s">
        <v>136</v>
      </c>
    </row>
    <row r="47" spans="1:24" ht="14.25">
      <c r="A47" s="699" t="s">
        <v>389</v>
      </c>
      <c r="B47" s="762">
        <v>10180</v>
      </c>
      <c r="C47" s="764">
        <v>10180</v>
      </c>
      <c r="D47" s="762">
        <v>2270</v>
      </c>
      <c r="E47" s="762">
        <v>2270</v>
      </c>
      <c r="F47" s="758"/>
      <c r="Q47" s="664" t="s">
        <v>389</v>
      </c>
      <c r="R47" s="762">
        <f>B47</f>
        <v>10180</v>
      </c>
      <c r="S47" s="762">
        <v>2270</v>
      </c>
      <c r="T47" s="770"/>
      <c r="X47" s="224" t="s">
        <v>341</v>
      </c>
    </row>
    <row r="48" spans="1:24" ht="15" thickBot="1">
      <c r="A48" s="771" t="s">
        <v>263</v>
      </c>
      <c r="B48" s="762">
        <v>9980</v>
      </c>
      <c r="C48" s="764">
        <v>9980</v>
      </c>
      <c r="D48" s="762">
        <v>2230</v>
      </c>
      <c r="E48" s="762">
        <v>2230</v>
      </c>
      <c r="F48" s="758"/>
      <c r="G48" s="699" t="s">
        <v>117</v>
      </c>
      <c r="H48" s="762">
        <v>23470</v>
      </c>
      <c r="I48" s="762">
        <v>23470</v>
      </c>
      <c r="J48" s="762">
        <v>2230</v>
      </c>
      <c r="K48" s="762">
        <v>2230</v>
      </c>
      <c r="Q48" s="664" t="s">
        <v>263</v>
      </c>
      <c r="R48" s="762">
        <f>B48</f>
        <v>9980</v>
      </c>
      <c r="S48" s="762">
        <v>2230</v>
      </c>
      <c r="T48" s="758"/>
      <c r="X48" s="224" t="s">
        <v>342</v>
      </c>
    </row>
    <row r="49" spans="1:24" ht="14.25">
      <c r="A49" s="699" t="s">
        <v>382</v>
      </c>
      <c r="B49" s="762">
        <v>9980</v>
      </c>
      <c r="C49" s="764">
        <v>9980</v>
      </c>
      <c r="D49" s="762">
        <v>2230</v>
      </c>
      <c r="E49" s="762">
        <v>2230</v>
      </c>
      <c r="G49" s="767" t="s">
        <v>384</v>
      </c>
      <c r="H49" s="760">
        <v>19770</v>
      </c>
      <c r="I49" s="761">
        <v>19770</v>
      </c>
      <c r="J49" s="762">
        <v>2120</v>
      </c>
      <c r="K49" s="762">
        <v>2120</v>
      </c>
      <c r="Q49" s="664" t="s">
        <v>382</v>
      </c>
      <c r="R49" s="762">
        <f>B49</f>
        <v>9980</v>
      </c>
      <c r="S49" s="762">
        <v>2230</v>
      </c>
      <c r="T49" s="758"/>
      <c r="X49" s="224" t="s">
        <v>344</v>
      </c>
    </row>
    <row r="50" spans="1:24" ht="14.25">
      <c r="A50" s="699" t="s">
        <v>390</v>
      </c>
      <c r="B50" s="762">
        <v>11080</v>
      </c>
      <c r="C50" s="764">
        <v>11080</v>
      </c>
      <c r="D50" s="762">
        <v>2010</v>
      </c>
      <c r="E50" s="762">
        <v>2010</v>
      </c>
      <c r="G50" s="699" t="s">
        <v>391</v>
      </c>
      <c r="H50" s="762">
        <v>11560</v>
      </c>
      <c r="I50" s="772" t="s">
        <v>463</v>
      </c>
      <c r="J50" s="762">
        <v>2230</v>
      </c>
      <c r="K50" s="773" t="s">
        <v>463</v>
      </c>
      <c r="Q50" s="664" t="s">
        <v>390</v>
      </c>
      <c r="R50" s="762">
        <f>B50</f>
        <v>11080</v>
      </c>
      <c r="S50" s="762">
        <v>2010</v>
      </c>
      <c r="X50" s="224" t="s">
        <v>345</v>
      </c>
    </row>
    <row r="51" spans="1:24" ht="14.25">
      <c r="A51" s="699" t="s">
        <v>117</v>
      </c>
      <c r="B51" s="762">
        <v>23470</v>
      </c>
      <c r="C51" s="762">
        <v>23470</v>
      </c>
      <c r="D51" s="762">
        <v>2230</v>
      </c>
      <c r="E51" s="762">
        <v>2230</v>
      </c>
      <c r="F51" s="758"/>
      <c r="G51" s="699" t="s">
        <v>48</v>
      </c>
      <c r="H51" s="760">
        <v>17150</v>
      </c>
      <c r="I51" s="772" t="s">
        <v>463</v>
      </c>
      <c r="J51" s="762">
        <v>2230</v>
      </c>
      <c r="K51" s="773" t="s">
        <v>463</v>
      </c>
      <c r="Q51" s="664" t="s">
        <v>391</v>
      </c>
      <c r="R51" s="762">
        <f>B52</f>
        <v>11560</v>
      </c>
      <c r="S51" s="762">
        <v>2230</v>
      </c>
      <c r="X51" s="224" t="s">
        <v>346</v>
      </c>
    </row>
    <row r="52" spans="1:24" ht="12.75">
      <c r="A52" s="699" t="s">
        <v>391</v>
      </c>
      <c r="B52" s="762">
        <v>11560</v>
      </c>
      <c r="C52" s="772" t="s">
        <v>463</v>
      </c>
      <c r="D52" s="762">
        <v>2230</v>
      </c>
      <c r="E52" s="773" t="s">
        <v>463</v>
      </c>
      <c r="G52" s="699" t="s">
        <v>404</v>
      </c>
      <c r="H52" s="774" t="s">
        <v>463</v>
      </c>
      <c r="I52" s="764">
        <v>17000</v>
      </c>
      <c r="J52" s="774" t="s">
        <v>463</v>
      </c>
      <c r="K52" s="762">
        <v>2230</v>
      </c>
      <c r="Q52" s="664" t="s">
        <v>48</v>
      </c>
      <c r="R52" s="762">
        <f>B53</f>
        <v>17150</v>
      </c>
      <c r="S52" s="762">
        <v>2230</v>
      </c>
      <c r="X52" s="290" t="s">
        <v>48</v>
      </c>
    </row>
    <row r="53" spans="1:24" ht="12.75">
      <c r="A53" s="699" t="s">
        <v>48</v>
      </c>
      <c r="B53" s="760">
        <v>17150</v>
      </c>
      <c r="C53" s="772" t="s">
        <v>463</v>
      </c>
      <c r="D53" s="762">
        <v>2230</v>
      </c>
      <c r="E53" s="773" t="s">
        <v>463</v>
      </c>
      <c r="G53" s="699" t="s">
        <v>385</v>
      </c>
      <c r="H53" s="762">
        <v>21820</v>
      </c>
      <c r="I53" s="764">
        <v>21820</v>
      </c>
      <c r="J53" s="762">
        <v>2230</v>
      </c>
      <c r="K53" s="762">
        <v>2230</v>
      </c>
      <c r="Q53" s="664" t="s">
        <v>117</v>
      </c>
      <c r="R53" s="762">
        <f>B51</f>
        <v>23470</v>
      </c>
      <c r="S53" s="762">
        <v>2230</v>
      </c>
      <c r="X53" s="224" t="s">
        <v>117</v>
      </c>
    </row>
    <row r="54" spans="1:24" ht="12.75">
      <c r="A54" s="699" t="s">
        <v>404</v>
      </c>
      <c r="B54" s="774">
        <v>17000</v>
      </c>
      <c r="C54" s="764">
        <v>17000</v>
      </c>
      <c r="D54" s="774">
        <v>2230</v>
      </c>
      <c r="E54" s="762">
        <v>2230</v>
      </c>
      <c r="Q54" s="769" t="s">
        <v>384</v>
      </c>
      <c r="R54" s="762">
        <f>B45</f>
        <v>19770</v>
      </c>
      <c r="S54" s="762">
        <v>2120</v>
      </c>
      <c r="X54" s="769" t="s">
        <v>384</v>
      </c>
    </row>
    <row r="55" spans="1:24" ht="13.5" thickBot="1">
      <c r="A55" s="699" t="s">
        <v>385</v>
      </c>
      <c r="B55" s="762">
        <v>21820</v>
      </c>
      <c r="C55" s="764">
        <v>21820</v>
      </c>
      <c r="D55" s="762">
        <v>2230</v>
      </c>
      <c r="E55" s="762">
        <v>2230</v>
      </c>
      <c r="Q55" s="663" t="s">
        <v>385</v>
      </c>
      <c r="R55" s="762">
        <v>21820</v>
      </c>
      <c r="S55" s="762">
        <v>2230</v>
      </c>
      <c r="X55" s="663" t="s">
        <v>385</v>
      </c>
    </row>
    <row r="56" ht="12.75">
      <c r="B56" s="775" t="s">
        <v>475</v>
      </c>
    </row>
    <row r="57" spans="2:7" ht="13.5" thickBot="1">
      <c r="B57" s="776" t="s">
        <v>476</v>
      </c>
      <c r="D57" s="757"/>
      <c r="F57" s="758"/>
      <c r="G57" s="664"/>
    </row>
    <row r="58" spans="1:18" ht="13.5" thickBot="1">
      <c r="A58" s="777" t="s">
        <v>465</v>
      </c>
      <c r="B58" s="778">
        <v>1</v>
      </c>
      <c r="C58" s="779">
        <v>3210</v>
      </c>
      <c r="D58" s="758"/>
      <c r="R58" s="664" t="s">
        <v>486</v>
      </c>
    </row>
    <row r="59" spans="1:18" ht="13.5" thickBot="1">
      <c r="A59" s="780" t="s">
        <v>466</v>
      </c>
      <c r="B59" s="778">
        <v>2</v>
      </c>
      <c r="C59" s="781">
        <v>4280</v>
      </c>
      <c r="D59" s="758"/>
      <c r="R59" s="664" t="s">
        <v>487</v>
      </c>
    </row>
    <row r="60" spans="1:18" ht="13.5" thickBot="1">
      <c r="A60" s="782" t="s">
        <v>467</v>
      </c>
      <c r="B60" s="778">
        <v>3</v>
      </c>
      <c r="C60" s="781">
        <v>5360</v>
      </c>
      <c r="D60" s="758"/>
      <c r="R60" s="661" t="s">
        <v>541</v>
      </c>
    </row>
    <row r="61" spans="1:4" ht="13.5" thickBot="1">
      <c r="A61" s="782" t="s">
        <v>468</v>
      </c>
      <c r="B61" s="778">
        <v>4</v>
      </c>
      <c r="C61" s="751">
        <v>6430</v>
      </c>
      <c r="D61" s="758"/>
    </row>
    <row r="62" spans="1:2" ht="24">
      <c r="A62" s="721" t="s">
        <v>477</v>
      </c>
      <c r="B62" s="664">
        <v>5380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5"/>
  <sheetViews>
    <sheetView zoomScalePageLayoutView="0" workbookViewId="0" topLeftCell="A25">
      <selection activeCell="J94" sqref="J94"/>
    </sheetView>
  </sheetViews>
  <sheetFormatPr defaultColWidth="9.00390625" defaultRowHeight="12.75"/>
  <sheetData>
    <row r="2" ht="15.75">
      <c r="A2" s="985" t="s">
        <v>864</v>
      </c>
    </row>
    <row r="28" spans="1:7" ht="12.75">
      <c r="A28" t="s">
        <v>815</v>
      </c>
      <c r="G28" t="s">
        <v>819</v>
      </c>
    </row>
    <row r="29" spans="1:7" ht="12.75">
      <c r="A29" t="s">
        <v>816</v>
      </c>
      <c r="G29" t="s">
        <v>820</v>
      </c>
    </row>
    <row r="30" spans="1:7" ht="12.75">
      <c r="A30" t="s">
        <v>817</v>
      </c>
      <c r="G30" t="s">
        <v>821</v>
      </c>
    </row>
    <row r="31" spans="1:7" ht="12.75">
      <c r="A31" t="s">
        <v>818</v>
      </c>
      <c r="G31" t="s">
        <v>822</v>
      </c>
    </row>
    <row r="37" ht="12.75">
      <c r="A37" s="986" t="s">
        <v>823</v>
      </c>
    </row>
    <row r="38" ht="12.75">
      <c r="A38" t="s">
        <v>824</v>
      </c>
    </row>
    <row r="40" ht="12.75">
      <c r="A40" s="986" t="s">
        <v>825</v>
      </c>
    </row>
    <row r="41" ht="12.75">
      <c r="A41" t="s">
        <v>826</v>
      </c>
    </row>
    <row r="42" ht="12.75">
      <c r="A42" t="s">
        <v>827</v>
      </c>
    </row>
    <row r="43" ht="12.75">
      <c r="B43" t="s">
        <v>828</v>
      </c>
    </row>
    <row r="44" ht="12.75">
      <c r="A44" t="s">
        <v>865</v>
      </c>
    </row>
    <row r="45" ht="12.75">
      <c r="B45" t="s">
        <v>829</v>
      </c>
    </row>
    <row r="46" ht="12.75">
      <c r="A46" t="s">
        <v>866</v>
      </c>
    </row>
    <row r="47" ht="12.75">
      <c r="A47" t="s">
        <v>830</v>
      </c>
    </row>
    <row r="49" ht="12.75">
      <c r="A49" s="986" t="s">
        <v>831</v>
      </c>
    </row>
    <row r="50" ht="12.75">
      <c r="A50" t="s">
        <v>832</v>
      </c>
    </row>
    <row r="51" ht="12.75">
      <c r="A51" t="s">
        <v>833</v>
      </c>
    </row>
    <row r="52" ht="12.75">
      <c r="A52" t="s">
        <v>834</v>
      </c>
    </row>
    <row r="53" ht="12.75">
      <c r="A53" t="s">
        <v>835</v>
      </c>
    </row>
    <row r="54" ht="12.75">
      <c r="A54" t="s">
        <v>836</v>
      </c>
    </row>
    <row r="56" ht="12.75">
      <c r="A56" s="987" t="s">
        <v>867</v>
      </c>
    </row>
    <row r="57" ht="12.75">
      <c r="A57" t="s">
        <v>837</v>
      </c>
    </row>
    <row r="58" ht="12.75">
      <c r="A58" t="s">
        <v>868</v>
      </c>
    </row>
    <row r="59" ht="12.75">
      <c r="A59" t="s">
        <v>838</v>
      </c>
    </row>
    <row r="60" ht="12.75">
      <c r="A60" t="s">
        <v>871</v>
      </c>
    </row>
    <row r="61" ht="12.75">
      <c r="A61" t="s">
        <v>869</v>
      </c>
    </row>
    <row r="62" ht="12.75">
      <c r="A62" t="s">
        <v>870</v>
      </c>
    </row>
    <row r="64" ht="12.75">
      <c r="A64" s="986" t="s">
        <v>839</v>
      </c>
    </row>
    <row r="65" ht="12.75">
      <c r="A65" t="s">
        <v>840</v>
      </c>
    </row>
    <row r="66" ht="12.75">
      <c r="A66" s="388" t="s">
        <v>872</v>
      </c>
    </row>
    <row r="67" ht="12.75">
      <c r="A67" t="s">
        <v>873</v>
      </c>
    </row>
    <row r="69" ht="12.75">
      <c r="A69" s="987" t="s">
        <v>874</v>
      </c>
    </row>
    <row r="70" ht="12.75">
      <c r="A70" t="s">
        <v>841</v>
      </c>
    </row>
    <row r="72" ht="12.75">
      <c r="A72" s="986" t="s">
        <v>842</v>
      </c>
    </row>
    <row r="73" spans="1:6" ht="12.75">
      <c r="A73" t="s">
        <v>843</v>
      </c>
      <c r="F73" t="s">
        <v>848</v>
      </c>
    </row>
    <row r="74" spans="1:6" ht="12.75">
      <c r="A74" t="s">
        <v>844</v>
      </c>
      <c r="F74" t="s">
        <v>849</v>
      </c>
    </row>
    <row r="75" spans="1:6" ht="12.75">
      <c r="A75" t="s">
        <v>845</v>
      </c>
      <c r="F75" t="s">
        <v>850</v>
      </c>
    </row>
    <row r="76" spans="1:6" ht="12.75">
      <c r="A76" t="s">
        <v>846</v>
      </c>
      <c r="F76" t="s">
        <v>851</v>
      </c>
    </row>
    <row r="77" spans="1:6" ht="12.75">
      <c r="A77" t="s">
        <v>847</v>
      </c>
      <c r="F77" t="s">
        <v>852</v>
      </c>
    </row>
    <row r="78" ht="12.75">
      <c r="F78" t="s">
        <v>853</v>
      </c>
    </row>
    <row r="79" ht="12.75">
      <c r="A79" s="986" t="s">
        <v>854</v>
      </c>
    </row>
    <row r="80" ht="12.75">
      <c r="A80" t="s">
        <v>855</v>
      </c>
    </row>
    <row r="81" ht="12.75">
      <c r="A81" t="s">
        <v>856</v>
      </c>
    </row>
    <row r="83" ht="12.75">
      <c r="A83" s="986" t="s">
        <v>857</v>
      </c>
    </row>
    <row r="84" ht="12.75">
      <c r="A84" t="s">
        <v>858</v>
      </c>
    </row>
    <row r="85" ht="12.75">
      <c r="A85" t="s">
        <v>859</v>
      </c>
    </row>
    <row r="86" ht="12.75">
      <c r="A86" t="s">
        <v>862</v>
      </c>
    </row>
    <row r="88" ht="12.75">
      <c r="A88" s="986" t="s">
        <v>860</v>
      </c>
    </row>
    <row r="89" ht="12.75">
      <c r="A89" t="s">
        <v>863</v>
      </c>
    </row>
    <row r="90" ht="12.75">
      <c r="A90" t="s">
        <v>861</v>
      </c>
    </row>
    <row r="93" ht="12.75">
      <c r="A93" s="986" t="s">
        <v>876</v>
      </c>
    </row>
    <row r="94" ht="12.75">
      <c r="A94" t="s">
        <v>877</v>
      </c>
    </row>
    <row r="95" ht="12.75">
      <c r="A95" t="s">
        <v>878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3.875" style="0" customWidth="1"/>
    <col min="2" max="2" width="5.75390625" style="0" customWidth="1"/>
    <col min="3" max="3" width="8.625" style="0" customWidth="1"/>
    <col min="4" max="4" width="9.875" style="0" customWidth="1"/>
    <col min="5" max="5" width="12.00390625" style="0" customWidth="1"/>
    <col min="6" max="6" width="12.00390625" style="0" hidden="1" customWidth="1"/>
    <col min="7" max="7" width="16.00390625" style="0" hidden="1" customWidth="1"/>
    <col min="8" max="8" width="35.875" style="0" customWidth="1"/>
    <col min="9" max="9" width="39.625" style="0" customWidth="1"/>
    <col min="10" max="14" width="16.00390625" style="0" hidden="1" customWidth="1"/>
    <col min="15" max="15" width="40.375" style="0" customWidth="1"/>
    <col min="16" max="16" width="13.25390625" style="0" customWidth="1"/>
    <col min="17" max="17" width="33.375" style="0" customWidth="1"/>
    <col min="18" max="18" width="54.25390625" style="0" customWidth="1"/>
  </cols>
  <sheetData>
    <row r="1" spans="1:18" s="1" customFormat="1" ht="21" customHeight="1" thickBot="1">
      <c r="A1" s="840" t="s">
        <v>619</v>
      </c>
      <c r="B1" s="242"/>
      <c r="C1" s="242"/>
      <c r="D1" s="242"/>
      <c r="E1" s="242"/>
      <c r="F1" s="242"/>
      <c r="G1" s="242"/>
      <c r="H1" s="242"/>
      <c r="I1" s="953" t="s">
        <v>594</v>
      </c>
      <c r="J1" s="242"/>
      <c r="K1" s="242"/>
      <c r="M1" s="241"/>
      <c r="P1" s="1046"/>
      <c r="Q1" s="1047"/>
      <c r="R1" s="1047"/>
    </row>
    <row r="2" spans="1:18" s="1" customFormat="1" ht="26.25" customHeight="1">
      <c r="A2" s="244" t="s">
        <v>618</v>
      </c>
      <c r="B2" s="242"/>
      <c r="F2" s="612"/>
      <c r="G2" s="612"/>
      <c r="H2" s="613"/>
      <c r="I2" s="952" t="s">
        <v>318</v>
      </c>
      <c r="J2" s="242"/>
      <c r="K2" s="242"/>
      <c r="L2" s="242"/>
      <c r="M2" s="241"/>
      <c r="P2" s="1047"/>
      <c r="Q2" s="1047"/>
      <c r="R2" s="1047"/>
    </row>
    <row r="3" spans="1:18" s="1" customFormat="1" ht="12" customHeight="1">
      <c r="A3" s="611" t="s">
        <v>902</v>
      </c>
      <c r="B3" s="242"/>
      <c r="F3" s="612"/>
      <c r="G3" s="612"/>
      <c r="H3" s="613"/>
      <c r="I3" s="570" t="s">
        <v>599</v>
      </c>
      <c r="J3" s="242"/>
      <c r="K3" s="242"/>
      <c r="L3" s="242"/>
      <c r="M3" s="241"/>
      <c r="P3" s="1047"/>
      <c r="Q3" s="1047"/>
      <c r="R3" s="1047"/>
    </row>
    <row r="4" spans="1:18" ht="6.75" customHeight="1" thickBot="1">
      <c r="A4" s="201" t="s">
        <v>316</v>
      </c>
      <c r="B4" s="201"/>
      <c r="C4" s="201"/>
      <c r="D4" s="201"/>
      <c r="E4" s="201"/>
      <c r="F4" s="201"/>
      <c r="G4" s="201"/>
      <c r="H4" s="203"/>
      <c r="I4" s="203"/>
      <c r="J4" s="203"/>
      <c r="K4" s="203"/>
      <c r="L4" s="203"/>
      <c r="M4" s="200"/>
      <c r="P4" s="1047"/>
      <c r="Q4" s="1047"/>
      <c r="R4" s="1047"/>
    </row>
    <row r="5" spans="1:15" s="1" customFormat="1" ht="26.25" customHeight="1" thickBot="1">
      <c r="A5" s="204"/>
      <c r="B5" s="205"/>
      <c r="C5" s="205" t="s">
        <v>317</v>
      </c>
      <c r="D5" s="207" t="str">
        <f>IF(I2="","",I2)</f>
        <v>Хоббит-Т</v>
      </c>
      <c r="E5" s="206" t="s">
        <v>306</v>
      </c>
      <c r="F5" s="1055" t="str">
        <f>IF(P8=1,"КНС или мороз","нет")</f>
        <v>нет</v>
      </c>
      <c r="G5" s="1057" t="str">
        <f>IF(AND(P7=1,C26&gt;1),"ГИРЛЯНДА","звезда")</f>
        <v>звезда</v>
      </c>
      <c r="H5" s="604" t="s">
        <v>325</v>
      </c>
      <c r="I5" s="605" t="str">
        <f>CONCATENATE("ВВОДА колич. каналов для ",I$2,IF(C23+C24&gt;0,"индикатора",""))</f>
        <v>ВВОДА колич. каналов для Хоббит-Т</v>
      </c>
      <c r="J5" s="208" t="s">
        <v>319</v>
      </c>
      <c r="K5" s="209" t="s">
        <v>354</v>
      </c>
      <c r="L5" s="210"/>
      <c r="M5" s="211" t="str">
        <f>IF(P7=1,"ГИРЛЯНДА","звезда")</f>
        <v>звезда</v>
      </c>
      <c r="N5" s="828" t="str">
        <f>IF(P6=1,"все взрывозащ.",IF(SUM(E7:E24)&gt;0,"есть взрывозащ. каналы","не взрывозащ."))</f>
        <v>не взрывозащ.</v>
      </c>
      <c r="O5" s="1008">
        <f>IF(AND(OR(E8&gt;0,P6=1),C8&gt;0),"каналы водорода пока выпускаются без взрывозащиты","")</f>
      </c>
    </row>
    <row r="6" spans="1:16" s="1" customFormat="1" ht="34.5" customHeight="1" thickBot="1">
      <c r="A6" s="615"/>
      <c r="B6" s="616" t="s">
        <v>323</v>
      </c>
      <c r="C6" s="617" t="s">
        <v>306</v>
      </c>
      <c r="D6" s="618" t="s">
        <v>310</v>
      </c>
      <c r="E6" s="206" t="s">
        <v>324</v>
      </c>
      <c r="F6" s="1056"/>
      <c r="G6" s="1058"/>
      <c r="H6" s="1001" t="s">
        <v>637</v>
      </c>
      <c r="I6" s="921">
        <f>сообщения!$A$3</f>
      </c>
      <c r="J6" s="826" t="s">
        <v>326</v>
      </c>
      <c r="K6" s="827" t="s">
        <v>327</v>
      </c>
      <c r="L6" s="830" t="s">
        <v>328</v>
      </c>
      <c r="M6" s="830" t="s">
        <v>306</v>
      </c>
      <c r="N6" s="830" t="s">
        <v>329</v>
      </c>
      <c r="O6" s="626" t="s">
        <v>884</v>
      </c>
      <c r="P6" s="841"/>
    </row>
    <row r="7" spans="1:16" s="1" customFormat="1" ht="42" customHeight="1" thickBot="1">
      <c r="A7" s="615"/>
      <c r="B7" s="620" t="s">
        <v>331</v>
      </c>
      <c r="C7" s="232"/>
      <c r="D7" s="219"/>
      <c r="E7" s="566"/>
      <c r="F7" s="846" t="s">
        <v>647</v>
      </c>
      <c r="H7" s="1002" t="s">
        <v>563</v>
      </c>
      <c r="I7" s="880" t="str">
        <f>сообщения!$A$13</f>
        <v>Укажите количества каналов измерения выбранных газов </v>
      </c>
      <c r="J7" s="601">
        <f>IF(AND(C7&gt;0,SUM(C$7:C$24)&lt;17),IF(OR(D7=1,D7=2,D7=3),D7,IF(AND(D7="",NOT(P$8=1)),IF(I$2=сообщения!I$2,VLOOKUP(B7,СГИ!$A$8:$G$27,7,TRUE),1),1)),"")</f>
      </c>
      <c r="K7" s="606">
        <f aca="true" t="shared" si="0" ref="K7:K24">IF(C7&gt;0,B7,"")</f>
      </c>
      <c r="L7" s="843">
        <f>CONCATENATE(IF($C7-E7&gt;1,CONCATENATE("-",$C7-E7,$K7),IF($C7-E7=1,CONCATENATE("-",$K7),"")),IF(E7&gt;1,CONCATENATE("-",E7,$K7,IF(P$6="","/53:Ex","")),IF(E7=1,CONCATENATE("-",$K7,IF(P$6="","/53:Ex","")),"")))</f>
      </c>
      <c r="M7" s="844">
        <f aca="true" t="shared" si="1" ref="M7:M24">IF(K7="",0,C7)</f>
        <v>0</v>
      </c>
      <c r="N7" s="831">
        <f>IF(OR(E7&gt;C7,E7&lt;0,AND(NOT(P$6=""),NOT(P$6=1))),"ошибка",IF(P$6=1,C7,E7))</f>
        <v>0</v>
      </c>
      <c r="O7" s="928" t="s">
        <v>883</v>
      </c>
      <c r="P7" s="237"/>
    </row>
    <row r="8" spans="1:16" s="1" customFormat="1" ht="36.75" customHeight="1" thickBot="1">
      <c r="A8" s="615"/>
      <c r="B8" s="233" t="s">
        <v>334</v>
      </c>
      <c r="C8" s="234"/>
      <c r="D8" s="223"/>
      <c r="E8" s="227"/>
      <c r="F8" s="846" t="s">
        <v>647</v>
      </c>
      <c r="H8" s="1002" t="s">
        <v>336</v>
      </c>
      <c r="I8" s="921" t="str">
        <f>сообщения!$E$3</f>
        <v>взрывозащита НЕ предусмотрена</v>
      </c>
      <c r="J8" s="602">
        <f>IF(AND(C8&gt;0,SUM(C$7:C$24)&lt;17),IF(OR(D8=1,D8=2,D8=3),D8,IF(AND(D8="",NOT(P$8=1)),IF(I$2=сообщения!I$2,VLOOKUP(B8,СГИ!$A$8:$G$27,7,TRUE),1),1)),"")</f>
      </c>
      <c r="K8" s="628">
        <f t="shared" si="0"/>
      </c>
      <c r="L8" s="629">
        <f aca="true" t="shared" si="2" ref="L8:L24">CONCATENATE(IF($C8-E8&gt;1,CONCATENATE("-",$C8-E8,$K8),IF($C8-E8=1,CONCATENATE("-",$K8),"")),IF(E8&gt;1,CONCATENATE("-",E8,$K8,IF(P$6="","/53:Ex","")),IF(E8=1,CONCATENATE("-",$K8,IF(P$6="","/53:Ex","")),"")))</f>
      </c>
      <c r="M8" s="630">
        <f t="shared" si="1"/>
        <v>0</v>
      </c>
      <c r="N8" s="832">
        <f aca="true" t="shared" si="3" ref="N8:N24">IF(OR(E8&gt;C8,E8&lt;0,AND(NOT(P$6=""),NOT(P$6=1))),"ошибка",IF(P$6=1,C8,E8))</f>
        <v>0</v>
      </c>
      <c r="O8" s="980" t="s">
        <v>898</v>
      </c>
      <c r="P8" s="981"/>
    </row>
    <row r="9" spans="1:16" s="1" customFormat="1" ht="32.25" customHeight="1" thickBot="1">
      <c r="A9" s="615"/>
      <c r="B9" s="588" t="s">
        <v>546</v>
      </c>
      <c r="C9" s="589"/>
      <c r="D9" s="589"/>
      <c r="E9" s="589"/>
      <c r="F9" s="847"/>
      <c r="G9" s="622"/>
      <c r="H9" s="1002" t="s">
        <v>563</v>
      </c>
      <c r="I9" s="954" t="str">
        <f>сообщения!$E$13</f>
        <v>(укажите взрывозащищённые каналы, если необходимо)</v>
      </c>
      <c r="J9" s="603">
        <f>IF(AND(C9&gt;0,SUM(C$7:C$24)&lt;17),IF(OR(D9=1,D9=2,D9=3),D9,IF(AND(D9="",NOT(P$8=1)),IF(I$2=сообщения!I$2,VLOOKUP(B9,СГИ!$A$8:$G$27,7,TRUE),1),1)),"")</f>
      </c>
      <c r="K9" s="628">
        <f t="shared" si="0"/>
      </c>
      <c r="L9" s="629">
        <f t="shared" si="2"/>
      </c>
      <c r="M9" s="630">
        <f t="shared" si="1"/>
        <v>0</v>
      </c>
      <c r="N9" s="833">
        <f t="shared" si="3"/>
        <v>0</v>
      </c>
      <c r="O9" s="1006" t="s">
        <v>897</v>
      </c>
      <c r="P9" s="1007"/>
    </row>
    <row r="10" spans="1:16" s="1" customFormat="1" ht="30" customHeight="1" thickBot="1">
      <c r="A10" s="615"/>
      <c r="B10" s="224" t="s">
        <v>337</v>
      </c>
      <c r="C10" s="234"/>
      <c r="D10" s="223"/>
      <c r="E10" s="223"/>
      <c r="F10" s="846" t="s">
        <v>647</v>
      </c>
      <c r="H10" s="541" t="s">
        <v>648</v>
      </c>
      <c r="I10" s="1003" t="str">
        <f>IF(OR(I$6=сообщения!$I$12,I$6=""),"--",IF(P$10="",IF(C$26&gt;0,ROUNDUP((2+SUMPRODUCT(C$7:C$24,J$7:J$24))/10,0),"--"),IF(OR(C26&gt;4,P12=1,C29&gt;0),P10,IF(P10=0,1,P$10))))</f>
        <v>--</v>
      </c>
      <c r="J10" s="628">
        <f>IF(AND(C10&gt;0,SUM(C$7:C$24)&lt;17),IF(OR(D10=1,D10=2,D10=3),D10,IF(AND(D10="",NOT(P$8=1)),IF(I$2=сообщения!I$2,VLOOKUP(B10,СГИ!$A$8:$G$27,7,TRUE),1),1)),"")</f>
      </c>
      <c r="K10" s="628">
        <f t="shared" si="0"/>
      </c>
      <c r="L10" s="629">
        <f t="shared" si="2"/>
      </c>
      <c r="M10" s="630">
        <f t="shared" si="1"/>
        <v>0</v>
      </c>
      <c r="N10" s="833">
        <f t="shared" si="3"/>
        <v>0</v>
      </c>
      <c r="O10" s="983" t="s">
        <v>885</v>
      </c>
      <c r="P10" s="984"/>
    </row>
    <row r="11" spans="1:14" s="1" customFormat="1" ht="27.75" customHeight="1" thickBot="1">
      <c r="A11" s="615"/>
      <c r="B11" s="224" t="s">
        <v>338</v>
      </c>
      <c r="C11" s="234"/>
      <c r="D11" s="223"/>
      <c r="E11" s="223"/>
      <c r="F11" s="846" t="s">
        <v>647</v>
      </c>
      <c r="H11" s="587"/>
      <c r="I11" s="599" t="str">
        <f>сообщения!C23</f>
        <v>ЦЕНЫ без взрывозащиты</v>
      </c>
      <c r="J11" s="602">
        <f>IF(AND(C11&gt;0,SUM(C$7:C$24)&lt;17),IF(OR(D11=1,D11=2,D11=3),D11,IF(AND(D11="",NOT(P$8=1)),IF(I$2=сообщения!I$2,VLOOKUP(B11,СГИ!$A$8:$G$27,7,TRUE),1),1)),"")</f>
      </c>
      <c r="K11" s="628">
        <f t="shared" si="0"/>
      </c>
      <c r="L11" s="629">
        <f t="shared" si="2"/>
      </c>
      <c r="M11" s="630">
        <f t="shared" si="1"/>
        <v>0</v>
      </c>
      <c r="N11" s="833">
        <f t="shared" si="3"/>
        <v>0</v>
      </c>
    </row>
    <row r="12" spans="1:16" s="1" customFormat="1" ht="35.25" customHeight="1" thickBot="1">
      <c r="A12" s="615"/>
      <c r="B12" s="225" t="s">
        <v>339</v>
      </c>
      <c r="C12" s="234"/>
      <c r="D12" s="223"/>
      <c r="E12" s="223"/>
      <c r="F12" s="846" t="s">
        <v>647</v>
      </c>
      <c r="H12" s="541" t="s">
        <v>340</v>
      </c>
      <c r="I12" s="598" t="str">
        <f>IF(OR(I6="",I6=сообщения!I12),"--",IF(AND(OR($P$7=1,$P$8=1,$P$13=1),SUM(N7:N24)&gt;0),"--",ROUND(сообщения!L$20,-1))+IF(I10="--","--",сообщения!L21))</f>
        <v>--</v>
      </c>
      <c r="J12" s="602">
        <f>IF(AND(C12&gt;0,SUM(C$7:C$24)&lt;17),IF(OR(D12=1,D12=2,D12=3),D12,IF(AND(D12="",NOT(P$8=1)),IF(I$2=сообщения!I$2,VLOOKUP(B12,СГИ!$A$8:$G$27,7,TRUE),1),1)),"")</f>
      </c>
      <c r="K12" s="628">
        <f t="shared" si="0"/>
      </c>
      <c r="L12" s="629">
        <f t="shared" si="2"/>
      </c>
      <c r="M12" s="630">
        <f t="shared" si="1"/>
        <v>0</v>
      </c>
      <c r="N12" s="833">
        <f t="shared" si="3"/>
        <v>0</v>
      </c>
      <c r="O12" s="927" t="s">
        <v>628</v>
      </c>
      <c r="P12" s="982"/>
    </row>
    <row r="13" spans="1:16" s="1" customFormat="1" ht="33" customHeight="1" thickBot="1">
      <c r="A13" s="625" t="s">
        <v>592</v>
      </c>
      <c r="B13" s="222" t="s">
        <v>614</v>
      </c>
      <c r="C13" s="234"/>
      <c r="D13" s="223"/>
      <c r="E13" s="223"/>
      <c r="F13" s="846" t="s">
        <v>647</v>
      </c>
      <c r="H13" s="542" t="str">
        <f>CONCATENATE("НДС ",100*СГИ!$B$1,"%")</f>
        <v>НДС 20%</v>
      </c>
      <c r="I13" s="600" t="str">
        <f>IF(OR(I12="--",I12=0),"--",I12*СГИ!$B$1)</f>
        <v>--</v>
      </c>
      <c r="J13" s="631">
        <f>IF(AND(C13&gt;0,SUM(C$7:C$24)&lt;17),IF(OR(D13=1,D13=2,D13=3),D13,IF(AND(D13="",NOT(P$8=1)),IF(I$2=сообщения!I$2,VLOOKUP(B13,СГИ!$A$8:$G$27,7,TRUE),1),1)),"")</f>
      </c>
      <c r="K13" s="632">
        <f t="shared" si="0"/>
      </c>
      <c r="L13" s="631">
        <f t="shared" si="2"/>
      </c>
      <c r="M13" s="632">
        <f t="shared" si="1"/>
        <v>0</v>
      </c>
      <c r="N13" s="833">
        <f t="shared" si="3"/>
        <v>0</v>
      </c>
      <c r="O13" s="968"/>
      <c r="P13" s="969"/>
    </row>
    <row r="14" spans="1:16" s="1" customFormat="1" ht="31.5" customHeight="1" thickBot="1">
      <c r="A14" s="615"/>
      <c r="B14" s="233" t="s">
        <v>347</v>
      </c>
      <c r="C14" s="234"/>
      <c r="D14" s="223"/>
      <c r="E14" s="565"/>
      <c r="F14" s="846" t="s">
        <v>647</v>
      </c>
      <c r="H14" s="961" t="s">
        <v>343</v>
      </c>
      <c r="I14" s="962" t="str">
        <f>IF(OR(I12="--",I12=0),"--",SUM(I12:I13))</f>
        <v>--</v>
      </c>
      <c r="J14" s="602">
        <f>IF(AND(C14&gt;0,SUM(C$7:C$24)&lt;17),IF(OR(D14=1,D14=2,D14=3),D14,IF(AND(D14="",NOT(P$8=1)),IF(I$2=сообщения!I$2,VLOOKUP(B14,СГИ!$A$8:$G$27,7,TRUE),1),1)),"")</f>
      </c>
      <c r="K14" s="628">
        <f t="shared" si="0"/>
      </c>
      <c r="L14" s="629">
        <f t="shared" si="2"/>
      </c>
      <c r="M14" s="630">
        <f t="shared" si="1"/>
        <v>0</v>
      </c>
      <c r="N14" s="833">
        <f t="shared" si="3"/>
        <v>0</v>
      </c>
      <c r="O14" s="927" t="s">
        <v>802</v>
      </c>
      <c r="P14" s="982"/>
    </row>
    <row r="15" spans="1:16" s="1" customFormat="1" ht="31.5" customHeight="1" thickBot="1">
      <c r="A15" s="615"/>
      <c r="B15" s="233" t="s">
        <v>136</v>
      </c>
      <c r="C15" s="234"/>
      <c r="D15" s="223"/>
      <c r="E15" s="565"/>
      <c r="F15" s="846" t="s">
        <v>647</v>
      </c>
      <c r="H15" s="1059" t="s">
        <v>798</v>
      </c>
      <c r="I15" s="1060"/>
      <c r="J15" s="628">
        <f>IF(AND(C15&gt;0,SUM(C$7:C$24)&lt;17),IF(OR(D15=1,D15=2,D15=3),D15,IF(AND(D15="",NOT(P$8=1)),IF(I$2=сообщения!I$2,VLOOKUP(B15,СГИ!$A$8:$G$27,7,TRUE),1),1)),"")</f>
      </c>
      <c r="K15" s="628">
        <f t="shared" si="0"/>
      </c>
      <c r="L15" s="629">
        <f t="shared" si="2"/>
      </c>
      <c r="M15" s="630">
        <f t="shared" si="1"/>
        <v>0</v>
      </c>
      <c r="N15" s="833">
        <f t="shared" si="3"/>
        <v>0</v>
      </c>
      <c r="O15" s="927" t="s">
        <v>767</v>
      </c>
      <c r="P15" s="982"/>
    </row>
    <row r="16" spans="1:14" s="1" customFormat="1" ht="16.5" customHeight="1">
      <c r="A16" s="624"/>
      <c r="B16" s="233" t="s">
        <v>341</v>
      </c>
      <c r="C16" s="234"/>
      <c r="D16" s="223"/>
      <c r="E16" s="565"/>
      <c r="F16" s="846" t="s">
        <v>647</v>
      </c>
      <c r="H16" s="1061"/>
      <c r="I16" s="1062"/>
      <c r="J16" s="628">
        <f>IF(AND(C16&gt;0,SUM(C$7:C$24)&lt;17),IF(OR(D16=1,D16=2,D16=3),D16,IF(AND(D16="",NOT(P$8=1)),IF(I$2=сообщения!I$2,VLOOKUP(B16,СГИ!$A$8:$G$27,7,TRUE),1),1)),"")</f>
      </c>
      <c r="K16" s="628">
        <f t="shared" si="0"/>
      </c>
      <c r="L16" s="629">
        <f t="shared" si="2"/>
      </c>
      <c r="M16" s="630">
        <f t="shared" si="1"/>
        <v>0</v>
      </c>
      <c r="N16" s="833">
        <f t="shared" si="3"/>
        <v>0</v>
      </c>
    </row>
    <row r="17" spans="1:15" s="1" customFormat="1" ht="12.75" customHeight="1">
      <c r="A17" s="624"/>
      <c r="B17" s="233" t="s">
        <v>342</v>
      </c>
      <c r="C17" s="234"/>
      <c r="D17" s="223"/>
      <c r="E17" s="565"/>
      <c r="F17" s="846" t="s">
        <v>647</v>
      </c>
      <c r="H17" s="1061"/>
      <c r="I17" s="1062"/>
      <c r="J17" s="959">
        <f>IF(AND(C17&gt;0,SUM(C$7:C$24)&lt;17),IF(OR(D17=1,D17=2,D17=3),D17,IF(AND(D17="",NOT(P$8=1)),IF(I$2=сообщения!I$2,VLOOKUP(B17,СГИ!$A$8:$G$27,7,TRUE),1),1)),"")</f>
      </c>
      <c r="K17" s="630">
        <f t="shared" si="0"/>
      </c>
      <c r="L17" s="629">
        <f t="shared" si="2"/>
      </c>
      <c r="M17" s="630">
        <f t="shared" si="1"/>
        <v>0</v>
      </c>
      <c r="N17" s="833">
        <f t="shared" si="3"/>
        <v>0</v>
      </c>
      <c r="O17" s="842"/>
    </row>
    <row r="18" spans="1:15" s="1" customFormat="1" ht="12.75" customHeight="1">
      <c r="A18" s="624"/>
      <c r="B18" s="233" t="s">
        <v>344</v>
      </c>
      <c r="C18" s="234"/>
      <c r="D18" s="223"/>
      <c r="E18" s="565"/>
      <c r="F18" s="846" t="s">
        <v>647</v>
      </c>
      <c r="H18" s="1061"/>
      <c r="I18" s="1062"/>
      <c r="J18" s="959">
        <f>IF(AND(C18&gt;0,SUM(C$7:C$24)&lt;17),IF(OR(D18=1,D18=2,D18=3),D18,IF(AND(D18="",NOT(P$8=1)),IF(I$2=сообщения!I$2,VLOOKUP(B18,СГИ!$A$8:$G$27,7,TRUE),1),1)),"")</f>
      </c>
      <c r="K18" s="630">
        <f t="shared" si="0"/>
      </c>
      <c r="L18" s="629">
        <f t="shared" si="2"/>
      </c>
      <c r="M18" s="630">
        <f t="shared" si="1"/>
        <v>0</v>
      </c>
      <c r="N18" s="833">
        <f t="shared" si="3"/>
        <v>0</v>
      </c>
      <c r="O18" s="842"/>
    </row>
    <row r="19" spans="1:15" s="1" customFormat="1" ht="12.75" customHeight="1">
      <c r="A19" s="624"/>
      <c r="B19" s="233" t="s">
        <v>345</v>
      </c>
      <c r="C19" s="234"/>
      <c r="D19" s="223"/>
      <c r="E19" s="565"/>
      <c r="F19" s="846" t="s">
        <v>647</v>
      </c>
      <c r="H19" s="1061"/>
      <c r="I19" s="1062"/>
      <c r="J19" s="959">
        <f>IF(AND(C19&gt;0,SUM(C$7:C$24)&lt;17),IF(OR(D19=1,D19=2,D19=3),D19,IF(AND(D19="",NOT(P$8=1)),IF(I$2=сообщения!I$2,VLOOKUP(B19,СГИ!$A$8:$G$27,7,TRUE),1),1)),"")</f>
      </c>
      <c r="K19" s="630">
        <f t="shared" si="0"/>
      </c>
      <c r="L19" s="629">
        <f t="shared" si="2"/>
      </c>
      <c r="M19" s="630">
        <f t="shared" si="1"/>
        <v>0</v>
      </c>
      <c r="N19" s="833">
        <f t="shared" si="3"/>
        <v>0</v>
      </c>
      <c r="O19" s="842"/>
    </row>
    <row r="20" spans="1:15" s="1" customFormat="1" ht="12.75" customHeight="1">
      <c r="A20" s="624"/>
      <c r="B20" s="233" t="s">
        <v>117</v>
      </c>
      <c r="C20" s="234"/>
      <c r="D20" s="223"/>
      <c r="E20" s="565"/>
      <c r="F20" s="846" t="s">
        <v>647</v>
      </c>
      <c r="H20" s="1061"/>
      <c r="I20" s="1062"/>
      <c r="J20" s="959">
        <f>IF(AND(C20&gt;0,SUM(C$7:C$24)&lt;17),IF(OR(D20=1,D20=2,D20=3),D20,IF(AND(D20="",NOT(P$8=1)),IF(I$2=сообщения!I$2,VLOOKUP(B20,СГИ!$A$8:$G$27,7,TRUE),1),1)),"")</f>
      </c>
      <c r="K20" s="630">
        <f t="shared" si="0"/>
      </c>
      <c r="L20" s="629">
        <f t="shared" si="2"/>
      </c>
      <c r="M20" s="630">
        <f t="shared" si="1"/>
        <v>0</v>
      </c>
      <c r="N20" s="833">
        <f t="shared" si="3"/>
        <v>0</v>
      </c>
      <c r="O20" s="842"/>
    </row>
    <row r="21" spans="1:14" s="1" customFormat="1" ht="15.75" customHeight="1">
      <c r="A21" s="625" t="s">
        <v>592</v>
      </c>
      <c r="B21" s="233" t="s">
        <v>346</v>
      </c>
      <c r="C21" s="234"/>
      <c r="D21" s="223"/>
      <c r="E21" s="565"/>
      <c r="F21" s="846" t="s">
        <v>647</v>
      </c>
      <c r="H21" s="1061"/>
      <c r="I21" s="1062"/>
      <c r="J21" s="960">
        <f>IF(AND(C21&gt;0,SUM(C$7:C$24)&lt;17),IF(OR(D21=1,D21=2,D21=3),D21,IF(AND(D21="",NOT(P$8=1)),IF(I$2=сообщения!I$2,VLOOKUP(B21,СГИ!$A$8:$G$27,7,TRUE),1),1)),"")</f>
      </c>
      <c r="K21" s="632">
        <f t="shared" si="0"/>
      </c>
      <c r="L21" s="631">
        <f t="shared" si="2"/>
      </c>
      <c r="M21" s="632">
        <f t="shared" si="1"/>
        <v>0</v>
      </c>
      <c r="N21" s="833">
        <f t="shared" si="3"/>
        <v>0</v>
      </c>
    </row>
    <row r="22" spans="1:14" s="1" customFormat="1" ht="17.25" customHeight="1" thickBot="1">
      <c r="A22" s="625" t="s">
        <v>592</v>
      </c>
      <c r="B22" s="233" t="s">
        <v>48</v>
      </c>
      <c r="C22" s="234"/>
      <c r="D22" s="223"/>
      <c r="E22" s="565"/>
      <c r="F22" s="846" t="s">
        <v>647</v>
      </c>
      <c r="H22" s="1063"/>
      <c r="I22" s="1064"/>
      <c r="J22" s="960">
        <f>IF(AND(C22&gt;0,SUM(C$7:C$24)&lt;17),IF(OR(D22=1,D22=2,D22=3),D22,IF(AND(D22="",NOT(P$8=1)),IF(I$2=сообщения!I$2,VLOOKUP(B22,СГИ!$A$8:$G$27,7,TRUE),1),1)),"")</f>
      </c>
      <c r="K22" s="632">
        <f t="shared" si="0"/>
      </c>
      <c r="L22" s="631">
        <f t="shared" si="2"/>
      </c>
      <c r="M22" s="632">
        <f t="shared" si="1"/>
        <v>0</v>
      </c>
      <c r="N22" s="833">
        <f t="shared" si="3"/>
        <v>0</v>
      </c>
    </row>
    <row r="23" spans="1:14" s="1" customFormat="1" ht="23.25" customHeight="1">
      <c r="A23" s="625" t="s">
        <v>591</v>
      </c>
      <c r="B23" s="627" t="s">
        <v>596</v>
      </c>
      <c r="C23" s="228"/>
      <c r="D23" s="228"/>
      <c r="E23" s="228"/>
      <c r="F23" s="848"/>
      <c r="G23" s="295"/>
      <c r="J23" s="629">
        <f>IF(AND(C23&gt;0,SUM(C$7:C$24)&lt;17),IF(OR(D23=1,D23=2,D23=3),D23,IF(AND(D23="",NOT(P$8=1)),IF(I$2=сообщения!I$2,VLOOKUP(B23,СГИ!$A$8:$G$27,7,TRUE),1),1)),"")</f>
      </c>
      <c r="K23" s="630">
        <f t="shared" si="0"/>
      </c>
      <c r="L23" s="629">
        <f t="shared" si="2"/>
      </c>
      <c r="M23" s="630">
        <f t="shared" si="1"/>
        <v>0</v>
      </c>
      <c r="N23" s="833">
        <f t="shared" si="3"/>
        <v>0</v>
      </c>
    </row>
    <row r="24" spans="1:14" s="1" customFormat="1" ht="20.25" customHeight="1" thickBot="1">
      <c r="A24" s="625" t="s">
        <v>591</v>
      </c>
      <c r="B24" s="588" t="s">
        <v>482</v>
      </c>
      <c r="C24" s="835"/>
      <c r="D24" s="228"/>
      <c r="E24" s="228"/>
      <c r="F24" s="848"/>
      <c r="G24" s="295"/>
      <c r="J24" s="633">
        <f>IF(AND(C24&gt;0,SUM(C$7:C$24)&lt;17),IF(OR(D24=1,D24=2,D24=3),D24,IF(AND(D24="",NOT(P$8=1)),IF(I$2=сообщения!I$2,VLOOKUP(B24,СГИ!$A$8:$G$27,7,TRUE),1),1)),"")</f>
      </c>
      <c r="K24" s="634">
        <f t="shared" si="0"/>
      </c>
      <c r="L24" s="633">
        <f t="shared" si="2"/>
      </c>
      <c r="M24" s="634">
        <f t="shared" si="1"/>
        <v>0</v>
      </c>
      <c r="N24" s="834">
        <f t="shared" si="3"/>
        <v>0</v>
      </c>
    </row>
    <row r="25" spans="1:10" s="1" customFormat="1" ht="21.75" customHeight="1" hidden="1" thickBot="1">
      <c r="A25" s="1050" t="s">
        <v>348</v>
      </c>
      <c r="B25" s="1051"/>
      <c r="C25" s="837">
        <f>DCOUNTA($C6:$C24,$C6,$D25:$D26)</f>
        <v>0</v>
      </c>
      <c r="D25" s="635" t="s">
        <v>306</v>
      </c>
      <c r="I25" s="850"/>
      <c r="J25" s="531"/>
    </row>
    <row r="26" spans="1:10" s="1" customFormat="1" ht="21.75" customHeight="1" hidden="1" thickBot="1">
      <c r="A26" s="1050" t="s">
        <v>352</v>
      </c>
      <c r="B26" s="1052"/>
      <c r="C26" s="836">
        <f>SUM(M7:M24)</f>
        <v>0</v>
      </c>
      <c r="D26" s="636"/>
      <c r="F26" s="1" t="s">
        <v>316</v>
      </c>
      <c r="J26" s="852" t="str">
        <f>сообщения!AM1</f>
        <v>Пояснения к коду стационарного газоанализатора</v>
      </c>
    </row>
    <row r="27" spans="1:10" s="1" customFormat="1" ht="21.75" customHeight="1" hidden="1" thickBot="1">
      <c r="A27" s="1053" t="s">
        <v>617</v>
      </c>
      <c r="B27" s="1052"/>
      <c r="C27" s="838">
        <f>SUM(M8:M12)</f>
        <v>0</v>
      </c>
      <c r="J27" s="852" t="str">
        <f>сообщения!AM2</f>
        <v> – стационарный в металлическом корпусе</v>
      </c>
    </row>
    <row r="28" spans="1:10" s="1" customFormat="1" ht="21.75" customHeight="1" hidden="1" thickBot="1">
      <c r="A28" s="1054" t="s">
        <v>351</v>
      </c>
      <c r="B28" s="1052"/>
      <c r="C28" s="839">
        <f>SUM(M14:M24)</f>
        <v>0</v>
      </c>
      <c r="J28" s="852" t="str">
        <f>сообщения!AM3</f>
        <v> – стационарный в пластиковом корпусе с креплением на дин-рейку</v>
      </c>
    </row>
    <row r="29" spans="1:10" s="1" customFormat="1" ht="21.75" customHeight="1" hidden="1" thickBot="1">
      <c r="A29" s="1048" t="s">
        <v>564</v>
      </c>
      <c r="B29" s="1049"/>
      <c r="C29" s="829">
        <f>SUM(N7:N24)</f>
        <v>0</v>
      </c>
      <c r="J29" s="852" t="str">
        <f>сообщения!AM4</f>
        <v> – параллельное подключение блоков датчиков к блоку индикации ("звезда") </v>
      </c>
    </row>
    <row r="30" spans="10:17" ht="21.75" customHeight="1">
      <c r="J30" s="852" t="str">
        <f>сообщения!AM5</f>
        <v> – последовательное подключение всех или некоторых блоков датчиков к блоку индикации ("гирлянда" или "звезда/гирлянда") </v>
      </c>
      <c r="P30" s="1"/>
      <c r="Q30" s="1"/>
    </row>
    <row r="31" spans="10:17" ht="21.75" customHeight="1">
      <c r="J31" s="852" t="str">
        <f>сообщения!AM6</f>
        <v> – код IP54 всех блоков датчиков (о потребности изменить защиту - сообщать при заказе)</v>
      </c>
      <c r="O31" s="1"/>
      <c r="P31" s="1"/>
      <c r="Q31" s="1"/>
    </row>
    <row r="32" spans="10:17" ht="24" customHeight="1">
      <c r="J32" s="852" t="str">
        <f>сообщения!AM7</f>
        <v> – код IP53 взрывозащищённых блоков датчиков</v>
      </c>
      <c r="O32" s="1"/>
      <c r="P32" s="1"/>
      <c r="Q32" s="1"/>
    </row>
    <row r="33" spans="10:17" ht="24" customHeight="1">
      <c r="J33" s="852" t="str">
        <f>сообщения!AM8</f>
        <v> – код IP50 блоков индикации</v>
      </c>
      <c r="N33" s="845" t="str">
        <f>сообщения!AL2</f>
        <v>-И21</v>
      </c>
      <c r="O33" s="1"/>
      <c r="P33" s="1"/>
      <c r="Q33" s="1"/>
    </row>
    <row r="34" spans="10:17" ht="24" customHeight="1">
      <c r="J34" s="852" t="str">
        <f>сообщения!AM11</f>
        <v> – без дисплея</v>
      </c>
      <c r="N34" s="845" t="str">
        <f>сообщения!AL3</f>
        <v>-И22</v>
      </c>
      <c r="O34" s="1"/>
      <c r="P34" s="1"/>
      <c r="Q34" s="1"/>
    </row>
    <row r="35" spans="10:14" ht="24" customHeight="1">
      <c r="J35" s="852" t="str">
        <f>сообщения!AM12</f>
        <v> – со знакосинтезирующим дисплеем</v>
      </c>
      <c r="N35" s="845" t="str">
        <f>сообщения!AL4</f>
        <v>(з)</v>
      </c>
    </row>
    <row r="36" spans="10:14" ht="24" customHeight="1">
      <c r="J36" s="852" t="str">
        <f>сообщения!AM13</f>
        <v> – с графическим дисплеем</v>
      </c>
      <c r="N36" s="845" t="str">
        <f>сообщения!AL5</f>
        <v>(г)</v>
      </c>
    </row>
    <row r="37" spans="10:14" ht="24" customHeight="1">
      <c r="J37" s="852" t="str">
        <f>сообщения!AM14</f>
        <v> – без токового выхода</v>
      </c>
      <c r="N37" s="845" t="str">
        <f>сообщения!AL6</f>
        <v>-/54</v>
      </c>
    </row>
    <row r="38" spans="10:14" ht="24" customHeight="1">
      <c r="J38" s="852" t="str">
        <f>сообщения!AM15</f>
        <v> – 0-5 мА</v>
      </c>
      <c r="N38" s="845" t="str">
        <f>сообщения!AL8</f>
        <v>/50</v>
      </c>
    </row>
    <row r="39" spans="10:14" ht="24" customHeight="1">
      <c r="J39" s="852" t="str">
        <f>сообщения!AM16</f>
        <v> – 4-20 мА</v>
      </c>
      <c r="N39" s="845" t="str">
        <f>сообщения!AL11</f>
        <v>-Д0</v>
      </c>
    </row>
    <row r="40" spans="10:14" ht="24" customHeight="1">
      <c r="J40" s="852" t="str">
        <f>сообщения!AM17</f>
        <v> – интерфейс RS232</v>
      </c>
      <c r="N40" s="845" t="str">
        <f>сообщения!AL12</f>
        <v>-Д2</v>
      </c>
    </row>
    <row r="41" spans="10:14" ht="24" customHeight="1">
      <c r="J41" s="852" t="str">
        <f>сообщения!AM18</f>
        <v> – интерфейс RS485</v>
      </c>
      <c r="N41" s="845" t="str">
        <f>сообщения!AL13</f>
        <v>-Д2</v>
      </c>
    </row>
    <row r="42" spans="10:14" ht="24" customHeight="1">
      <c r="J42" s="852"/>
      <c r="N42" s="845" t="str">
        <f>сообщения!AL14</f>
        <v>Т0</v>
      </c>
    </row>
    <row r="43" spans="10:14" ht="24" customHeight="1">
      <c r="J43" s="852" t="str">
        <f>сообщения!AM20</f>
        <v> – со звуковой сигнализацией</v>
      </c>
      <c r="N43" s="845" t="str">
        <f>сообщения!AL15</f>
        <v>Т1</v>
      </c>
    </row>
    <row r="44" spans="10:14" ht="24" customHeight="1">
      <c r="J44" s="852" t="str">
        <f>сообщения!AM21</f>
        <v> – без звуковой сигнализации</v>
      </c>
      <c r="N44" s="845" t="str">
        <f>сообщения!AL16</f>
        <v>Т2</v>
      </c>
    </row>
    <row r="45" spans="10:14" ht="24" customHeight="1">
      <c r="J45" s="852" t="str">
        <f>сообщения!AM22</f>
        <v> – с визуальной сигнализацией</v>
      </c>
      <c r="N45" s="845" t="str">
        <f>сообщения!AL17</f>
        <v>Ц1</v>
      </c>
    </row>
    <row r="46" spans="10:14" ht="24" customHeight="1">
      <c r="J46" s="852" t="str">
        <f>сообщения!AM23</f>
        <v> – без визуальной сигнализации</v>
      </c>
      <c r="N46" s="845" t="str">
        <f>сообщения!AL18</f>
        <v>Ц2</v>
      </c>
    </row>
    <row r="47" spans="10:14" ht="24" customHeight="1">
      <c r="J47" s="852" t="str">
        <f>сообщения!AM24</f>
        <v> – сигнализация по RS</v>
      </c>
      <c r="N47" s="845" t="str">
        <f>сообщения!AL19</f>
        <v>-С</v>
      </c>
    </row>
    <row r="48" spans="10:14" ht="24" customHeight="1">
      <c r="J48" s="852" t="str">
        <f>сообщения!AM25</f>
        <v> – напряжение питания (при необходимости заказать другое питание - сообщать при заказе)</v>
      </c>
      <c r="N48" s="845">
        <f>сообщения!AL20</f>
        <v>1</v>
      </c>
    </row>
    <row r="49" spans="9:14" ht="24" customHeight="1">
      <c r="I49" t="s">
        <v>318</v>
      </c>
      <c r="N49" s="845">
        <f>сообщения!AL21</f>
        <v>0</v>
      </c>
    </row>
    <row r="50" spans="9:14" ht="24" customHeight="1">
      <c r="I50" t="s">
        <v>595</v>
      </c>
      <c r="N50" s="845">
        <f>сообщения!AL22</f>
        <v>1</v>
      </c>
    </row>
    <row r="51" ht="24" customHeight="1">
      <c r="N51" s="845">
        <f>сообщения!AL23</f>
        <v>0</v>
      </c>
    </row>
    <row r="52" ht="24" customHeight="1">
      <c r="N52" s="845">
        <f>сообщения!AL24</f>
        <v>1</v>
      </c>
    </row>
    <row r="53" ht="24" customHeight="1">
      <c r="N53" s="845" t="str">
        <f>сообщения!AL25</f>
        <v>~220</v>
      </c>
    </row>
    <row r="54" ht="24" customHeight="1">
      <c r="N54" s="930" t="s">
        <v>812</v>
      </c>
    </row>
    <row r="55" ht="24" customHeight="1"/>
    <row r="56" ht="24" customHeight="1"/>
    <row r="57" ht="24" customHeight="1"/>
  </sheetData>
  <sheetProtection/>
  <mergeCells count="9">
    <mergeCell ref="P1:R4"/>
    <mergeCell ref="A29:B29"/>
    <mergeCell ref="A25:B25"/>
    <mergeCell ref="A26:B26"/>
    <mergeCell ref="A27:B27"/>
    <mergeCell ref="A28:B28"/>
    <mergeCell ref="F5:F6"/>
    <mergeCell ref="G5:G6"/>
    <mergeCell ref="H15:I22"/>
  </mergeCells>
  <dataValidations count="1">
    <dataValidation type="list" allowBlank="1" showInputMessage="1" showErrorMessage="1" sqref="I2">
      <formula1>$I$48:$I$50</formula1>
    </dataValidation>
  </dataValidations>
  <hyperlinks>
    <hyperlink ref="H6" location="сообщения!A3" display="код наименования:"/>
    <hyperlink ref="H7" location="сообщения!A13" display="примечание"/>
    <hyperlink ref="H8" location="сообщения!E3" display="взрывозащита:"/>
    <hyperlink ref="H9" location="сообщения!E13" display="примечание"/>
    <hyperlink ref="H10" location="'стац. с выносн. БД'!P9" display="рекомендуемое кол.   БР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4" ySplit="4" topLeftCell="E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D7" sqref="D7"/>
    </sheetView>
  </sheetViews>
  <sheetFormatPr defaultColWidth="8.875" defaultRowHeight="12.75"/>
  <cols>
    <col min="1" max="1" width="7.25390625" style="198" customWidth="1"/>
    <col min="2" max="2" width="6.25390625" style="1" customWidth="1"/>
    <col min="3" max="3" width="16.125" style="1" customWidth="1"/>
    <col min="4" max="4" width="10.375" style="1" customWidth="1"/>
    <col min="5" max="5" width="10.75390625" style="1" customWidth="1"/>
    <col min="6" max="6" width="16.625" style="1" customWidth="1"/>
    <col min="7" max="7" width="21.25390625" style="1" customWidth="1"/>
    <col min="8" max="8" width="47.75390625" style="1" customWidth="1"/>
    <col min="9" max="9" width="29.375" style="1" hidden="1" customWidth="1"/>
    <col min="10" max="10" width="0.12890625" style="1" hidden="1" customWidth="1"/>
    <col min="11" max="11" width="48.625" style="1" customWidth="1"/>
    <col min="12" max="12" width="7.625" style="1" customWidth="1"/>
    <col min="13" max="13" width="15.625" style="198" customWidth="1"/>
    <col min="14" max="14" width="6.00390625" style="198" customWidth="1"/>
    <col min="15" max="15" width="7.75390625" style="198" customWidth="1"/>
    <col min="16" max="16" width="16.75390625" style="198" customWidth="1"/>
    <col min="17" max="17" width="14.125" style="198" customWidth="1"/>
    <col min="18" max="18" width="9.125" style="198" customWidth="1"/>
    <col min="19" max="19" width="16.00390625" style="1" customWidth="1"/>
    <col min="20" max="16384" width="8.875" style="1" customWidth="1"/>
  </cols>
  <sheetData>
    <row r="1" spans="1:19" ht="15" customHeight="1" thickBot="1">
      <c r="A1" s="202" t="s">
        <v>357</v>
      </c>
      <c r="C1" s="242"/>
      <c r="D1" s="242"/>
      <c r="E1" s="242"/>
      <c r="H1" s="953" t="s">
        <v>594</v>
      </c>
      <c r="I1" s="201"/>
      <c r="L1" s="1065"/>
      <c r="M1" s="1065"/>
      <c r="N1" s="1065"/>
      <c r="O1" s="1"/>
      <c r="P1" s="1"/>
      <c r="Q1" s="1"/>
      <c r="R1" s="1"/>
      <c r="S1" s="243"/>
    </row>
    <row r="2" spans="1:19" ht="26.25" customHeight="1">
      <c r="A2" s="244" t="s">
        <v>358</v>
      </c>
      <c r="D2" s="242"/>
      <c r="E2" s="242"/>
      <c r="F2" s="242"/>
      <c r="G2" s="242"/>
      <c r="H2" s="949" t="s">
        <v>595</v>
      </c>
      <c r="I2" s="242"/>
      <c r="L2" s="1065"/>
      <c r="M2" s="1065"/>
      <c r="N2" s="1065"/>
      <c r="O2" s="1"/>
      <c r="P2" s="1"/>
      <c r="Q2" s="1"/>
      <c r="R2" s="1"/>
      <c r="S2" s="245"/>
    </row>
    <row r="3" spans="1:18" ht="12" customHeight="1">
      <c r="A3" s="242" t="s">
        <v>316</v>
      </c>
      <c r="C3" s="242"/>
      <c r="D3" s="242"/>
      <c r="E3" s="242"/>
      <c r="F3" s="242"/>
      <c r="G3" s="242"/>
      <c r="H3" s="570" t="s">
        <v>599</v>
      </c>
      <c r="I3" s="242"/>
      <c r="L3" s="1065"/>
      <c r="M3" s="1065"/>
      <c r="N3" s="1065"/>
      <c r="O3" s="1"/>
      <c r="P3" s="1"/>
      <c r="Q3" s="1"/>
      <c r="R3" s="1"/>
    </row>
    <row r="4" spans="1:18" ht="7.5" customHeight="1" thickBot="1">
      <c r="A4" s="862"/>
      <c r="B4" s="863"/>
      <c r="C4" s="863"/>
      <c r="D4" s="863"/>
      <c r="E4" s="242"/>
      <c r="F4" s="242"/>
      <c r="G4" s="246"/>
      <c r="H4" s="242"/>
      <c r="I4" s="242"/>
      <c r="L4" s="1065"/>
      <c r="M4" s="1065"/>
      <c r="N4" s="1065"/>
      <c r="O4" s="1"/>
      <c r="P4" s="1"/>
      <c r="Q4" s="1"/>
      <c r="R4" s="1"/>
    </row>
    <row r="5" spans="1:18" ht="13.5" thickBot="1">
      <c r="A5" s="859"/>
      <c r="B5" s="859"/>
      <c r="C5" s="860" t="s">
        <v>360</v>
      </c>
      <c r="D5" s="861" t="str">
        <f>H2</f>
        <v>ОКА-</v>
      </c>
      <c r="E5"/>
      <c r="F5"/>
      <c r="G5" s="547" t="s">
        <v>325</v>
      </c>
      <c r="H5" s="605" t="str">
        <f>CONCATENATE("ВВОДА каналов для ",H$2,IF(B23+B24&gt;0,"индикатора",""))</f>
        <v>ВВОДА каналов для ОКА-</v>
      </c>
      <c r="K5" s="857">
        <f>IF(AND(L6=1,OR(D8=1,D9=1,D10=1,D11=1)),"г/а с каналом водорода пока выпускаются без взрывозащиты","")</f>
      </c>
      <c r="R5" s="1"/>
    </row>
    <row r="6" spans="1:18" ht="28.5" customHeight="1" thickBot="1">
      <c r="A6" s="926"/>
      <c r="B6" s="248" t="s">
        <v>361</v>
      </c>
      <c r="C6" s="249" t="s">
        <v>323</v>
      </c>
      <c r="D6" s="858" t="s">
        <v>362</v>
      </c>
      <c r="E6"/>
      <c r="F6"/>
      <c r="G6" s="537" t="s">
        <v>332</v>
      </c>
      <c r="H6" s="538">
        <f>сообщения!$A$47</f>
      </c>
      <c r="I6" s="911" t="s">
        <v>363</v>
      </c>
      <c r="J6" s="799" t="s">
        <v>306</v>
      </c>
      <c r="K6" s="856" t="s">
        <v>659</v>
      </c>
      <c r="L6" s="855"/>
      <c r="R6" s="1"/>
    </row>
    <row r="7" spans="1:18" ht="29.25" customHeight="1" thickBot="1">
      <c r="A7" s="252" t="s">
        <v>330</v>
      </c>
      <c r="B7" s="226"/>
      <c r="C7" s="253" t="s">
        <v>331</v>
      </c>
      <c r="D7" s="254"/>
      <c r="E7" s="255" t="str">
        <f>IF(SUM(D$7:D$21)+SUM(D$19:D$19)&gt;5,"&lt;- каналов не должно быть более 5",IF(D7&gt;1,"&lt;- измените количество каналов",IF(SUM(D$7:D$21)+SUM(D$19:D$19)=5,"&lt;- дальнейший ввод невозможен",IF(D7=1,"","&lt;- введите данные, где необходимо"))))</f>
        <v>&lt;- введите данные, где необходимо</v>
      </c>
      <c r="F7"/>
      <c r="G7" s="539"/>
      <c r="H7" s="908" t="str">
        <f>сообщения!A58</f>
        <v>Укажите каналы измерения выбранных газов </v>
      </c>
      <c r="I7" s="912">
        <f>IF($D7=1,CONCATENATE("-",$C7),"")</f>
      </c>
      <c r="J7" s="909">
        <f>IF(I7="",0,1)</f>
        <v>0</v>
      </c>
      <c r="K7" s="856" t="s">
        <v>762</v>
      </c>
      <c r="L7" s="855"/>
      <c r="R7" s="1"/>
    </row>
    <row r="8" spans="1:18" ht="27" customHeight="1">
      <c r="A8" s="258" t="s">
        <v>333</v>
      </c>
      <c r="B8" s="590" t="s">
        <v>136</v>
      </c>
      <c r="C8" s="233" t="s">
        <v>334</v>
      </c>
      <c r="D8" s="254"/>
      <c r="E8" s="255" t="str">
        <f aca="true" t="shared" si="0" ref="E8:E23">IF(SUM(D$7:D$21)+SUM(D$19:D$19)&gt;5,"&lt;- каналов не должно быть более 5",IF(D8&gt;1,"&lt;- измените количество каналов",IF(SUM(D$7:D$21)+SUM(D$19:D$19)=5,"&lt;- дальнейший ввод невозможен",IF(D8=1,"","&lt;- введите данные, где необходимо"))))</f>
        <v>&lt;- введите данные, где необходимо</v>
      </c>
      <c r="F8"/>
      <c r="G8" s="607" t="s">
        <v>336</v>
      </c>
      <c r="H8" s="972" t="str">
        <f>сообщения!$E$47</f>
        <v>взрывозащита НЕ предусмотрена</v>
      </c>
      <c r="I8" s="970">
        <f>IF(OR($D8=1,A9*J9=1,A10*J10=1,A11*J11=1),CONCATENATE("-",$C8),"")</f>
      </c>
      <c r="J8" s="909">
        <f>IF(I8="",0,1)</f>
        <v>0</v>
      </c>
      <c r="K8" s="198"/>
      <c r="L8" s="198"/>
      <c r="R8" s="1"/>
    </row>
    <row r="9" spans="1:18" ht="29.25" customHeight="1" thickBot="1">
      <c r="A9" s="259"/>
      <c r="B9" s="259"/>
      <c r="C9" s="233" t="s">
        <v>337</v>
      </c>
      <c r="D9" s="254"/>
      <c r="E9" s="255" t="str">
        <f t="shared" si="0"/>
        <v>&lt;- введите данные, где необходимо</v>
      </c>
      <c r="F9"/>
      <c r="G9" s="608"/>
      <c r="H9" s="973" t="str">
        <f>сообщения!$E$58</f>
        <v>(укажите необходимость взрывозащиты, если необходимо)</v>
      </c>
      <c r="I9" s="970">
        <f>IF(AND($D9=1,NOT(AND(L$6=1,OR(D$13=1,D$12=1)))),CONCATENATE("-",$C9),"")</f>
      </c>
      <c r="J9" s="909">
        <f>IF(I9="",0,1)</f>
        <v>0</v>
      </c>
      <c r="R9" s="1"/>
    </row>
    <row r="10" spans="1:18" ht="19.5" customHeight="1" thickBot="1">
      <c r="A10" s="259"/>
      <c r="B10" s="259"/>
      <c r="C10" s="233" t="s">
        <v>338</v>
      </c>
      <c r="D10" s="254"/>
      <c r="E10" s="255" t="str">
        <f t="shared" si="0"/>
        <v>&lt;- введите данные, где необходимо</v>
      </c>
      <c r="F10"/>
      <c r="G10" s="546"/>
      <c r="H10" s="974"/>
      <c r="I10" s="970">
        <f>IF(AND($D10=1,NOT(AND(L$6=1,OR(D$13=1,D$12=1)))),CONCATENATE("-",$C10),"")</f>
      </c>
      <c r="J10" s="909">
        <f>IF(I10="",0,1)</f>
        <v>0</v>
      </c>
      <c r="R10" s="1"/>
    </row>
    <row r="11" spans="1:18" ht="25.5" customHeight="1" thickBot="1">
      <c r="A11" s="259"/>
      <c r="B11" s="259"/>
      <c r="C11" s="260" t="s">
        <v>339</v>
      </c>
      <c r="D11" s="254"/>
      <c r="E11" s="255" t="str">
        <f t="shared" si="0"/>
        <v>&lt;- введите данные, где необходимо</v>
      </c>
      <c r="F11"/>
      <c r="G11" s="551"/>
      <c r="H11" s="975" t="str">
        <f>сообщения!C66</f>
        <v>ЦЕНЫ без взрывозащиты</v>
      </c>
      <c r="I11" s="970">
        <f>IF(AND($D11=1,NOT(AND(L$6=1,OR(D$13=1,D$12=1)))),CONCATENATE("-",$C11),"")</f>
      </c>
      <c r="J11" s="909">
        <f>IF(I11="",0,1)</f>
        <v>0</v>
      </c>
      <c r="R11" s="1"/>
    </row>
    <row r="12" spans="1:18" ht="24.75" customHeight="1" thickBot="1">
      <c r="A12" s="261"/>
      <c r="B12" s="625" t="s">
        <v>592</v>
      </c>
      <c r="C12" s="262" t="s">
        <v>36</v>
      </c>
      <c r="D12" s="254"/>
      <c r="E12" s="255" t="str">
        <f t="shared" si="0"/>
        <v>&lt;- введите данные, где необходимо</v>
      </c>
      <c r="F12"/>
      <c r="G12" s="541" t="s">
        <v>364</v>
      </c>
      <c r="H12" s="976" t="str">
        <f>IF(OR(H6="",H6=сообщения!I55),"--",IF(H8=сообщения!I55,"--",ROUND(сообщения!L68,-1)))</f>
        <v>--</v>
      </c>
      <c r="I12" s="971">
        <f>IF($D12=1,CONCATENATE("-",C12),IF(AND(D13&gt;0,D9&gt;0,L6=1),CONCATENATE("-",C12),""))</f>
      </c>
      <c r="J12" s="909">
        <f>IF(AND(L$6=1,OR(D$12=1,D$13=1)),SIGN(IF(I12="",0,D12)+D9),IF(I12="",0,D12))</f>
        <v>0</v>
      </c>
      <c r="K12" s="250"/>
      <c r="R12" s="1"/>
    </row>
    <row r="13" spans="1:18" ht="20.25" customHeight="1" thickBot="1">
      <c r="A13" s="261"/>
      <c r="B13" s="261"/>
      <c r="C13" s="235" t="s">
        <v>347</v>
      </c>
      <c r="D13" s="269"/>
      <c r="E13" s="255" t="str">
        <f t="shared" si="0"/>
        <v>&lt;- введите данные, где необходимо</v>
      </c>
      <c r="F13"/>
      <c r="G13" s="542" t="str">
        <f>CONCATENATE("НДС ",100*СГИ!$B$1,"%")</f>
        <v>НДС 20%</v>
      </c>
      <c r="H13" s="977" t="str">
        <f>IF(H12="--","--",SUM(H12:H12)*ПГ!B2)</f>
        <v>--</v>
      </c>
      <c r="I13" s="970">
        <f aca="true" t="shared" si="1" ref="I13:I19">IF($D13=1,CONCATENATE("-",C13),IF(AND(D14&gt;0,D10&gt;0,D26=1),CONCATENATE("-",C13),""))</f>
      </c>
      <c r="J13" s="909">
        <f aca="true" t="shared" si="2" ref="J13:J23">IF(I13="",0,1)</f>
        <v>0</v>
      </c>
      <c r="K13" s="250"/>
      <c r="R13" s="1"/>
    </row>
    <row r="14" spans="1:18" ht="22.5" customHeight="1" thickBot="1">
      <c r="A14" s="261"/>
      <c r="B14" s="261"/>
      <c r="C14" s="233" t="s">
        <v>136</v>
      </c>
      <c r="D14" s="254"/>
      <c r="E14" s="255" t="str">
        <f t="shared" si="0"/>
        <v>&lt;- введите данные, где необходимо</v>
      </c>
      <c r="F14"/>
      <c r="G14" s="544" t="s">
        <v>343</v>
      </c>
      <c r="H14" s="978" t="str">
        <f>IF(H12="--","--",SUM(H12:H13))</f>
        <v>--</v>
      </c>
      <c r="I14" s="970">
        <f t="shared" si="1"/>
      </c>
      <c r="J14" s="909">
        <f t="shared" si="2"/>
        <v>0</v>
      </c>
      <c r="K14" s="250"/>
      <c r="R14" s="1"/>
    </row>
    <row r="15" spans="1:18" ht="19.5" customHeight="1" thickBot="1">
      <c r="A15" s="261"/>
      <c r="B15" s="261"/>
      <c r="C15" s="233" t="s">
        <v>341</v>
      </c>
      <c r="D15" s="254"/>
      <c r="E15" s="255" t="str">
        <f t="shared" si="0"/>
        <v>&lt;- введите данные, где необходимо</v>
      </c>
      <c r="F15"/>
      <c r="G15" s="546"/>
      <c r="H15" s="979"/>
      <c r="I15" s="970">
        <f t="shared" si="1"/>
      </c>
      <c r="J15" s="909">
        <f t="shared" si="2"/>
        <v>0</v>
      </c>
      <c r="K15" s="250"/>
      <c r="R15" s="1"/>
    </row>
    <row r="16" spans="1:18" ht="12.75" customHeight="1">
      <c r="A16" s="261"/>
      <c r="B16" s="263"/>
      <c r="C16" s="233" t="s">
        <v>342</v>
      </c>
      <c r="D16" s="254"/>
      <c r="E16" s="255" t="str">
        <f t="shared" si="0"/>
        <v>&lt;- введите данные, где необходимо</v>
      </c>
      <c r="F16"/>
      <c r="G16" s="1066" t="s">
        <v>797</v>
      </c>
      <c r="H16" s="1067"/>
      <c r="I16" s="913">
        <f t="shared" si="1"/>
      </c>
      <c r="J16" s="909">
        <f t="shared" si="2"/>
        <v>0</v>
      </c>
      <c r="K16" s="250"/>
      <c r="R16" s="1"/>
    </row>
    <row r="17" spans="1:18" ht="12.75" customHeight="1">
      <c r="A17" s="261"/>
      <c r="B17" s="261"/>
      <c r="C17" s="233" t="s">
        <v>344</v>
      </c>
      <c r="D17" s="254"/>
      <c r="E17" s="255" t="str">
        <f t="shared" si="0"/>
        <v>&lt;- введите данные, где необходимо</v>
      </c>
      <c r="F17"/>
      <c r="G17" s="1068"/>
      <c r="H17" s="1069"/>
      <c r="I17" s="913">
        <f t="shared" si="1"/>
      </c>
      <c r="J17" s="909">
        <f t="shared" si="2"/>
        <v>0</v>
      </c>
      <c r="K17" s="250"/>
      <c r="R17" s="1"/>
    </row>
    <row r="18" spans="1:18" ht="12.75" customHeight="1">
      <c r="A18" s="261"/>
      <c r="B18" s="261"/>
      <c r="C18" s="233" t="s">
        <v>345</v>
      </c>
      <c r="D18" s="254"/>
      <c r="E18" s="255" t="str">
        <f t="shared" si="0"/>
        <v>&lt;- введите данные, где необходимо</v>
      </c>
      <c r="F18"/>
      <c r="G18" s="1068"/>
      <c r="H18" s="1069"/>
      <c r="I18" s="913">
        <f t="shared" si="1"/>
      </c>
      <c r="J18" s="909">
        <f t="shared" si="2"/>
        <v>0</v>
      </c>
      <c r="K18" s="250"/>
      <c r="R18" s="1"/>
    </row>
    <row r="19" spans="1:18" ht="12.75" customHeight="1">
      <c r="A19" s="264"/>
      <c r="B19" s="264"/>
      <c r="C19" s="233" t="s">
        <v>117</v>
      </c>
      <c r="D19" s="269"/>
      <c r="E19" s="255" t="str">
        <f t="shared" si="0"/>
        <v>&lt;- введите данные, где необходимо</v>
      </c>
      <c r="F19"/>
      <c r="G19" s="1068"/>
      <c r="H19" s="1069"/>
      <c r="I19" s="913">
        <f t="shared" si="1"/>
      </c>
      <c r="J19" s="909">
        <f t="shared" si="2"/>
        <v>0</v>
      </c>
      <c r="K19" s="250"/>
      <c r="R19" s="1"/>
    </row>
    <row r="20" spans="1:18" ht="15.75" customHeight="1">
      <c r="A20" s="261"/>
      <c r="B20" s="625" t="s">
        <v>592</v>
      </c>
      <c r="C20" s="233" t="str">
        <f>IF(H$2=сообщения!$I$46,"","NO2")</f>
        <v>NO2</v>
      </c>
      <c r="D20" s="269"/>
      <c r="E20" s="265" t="str">
        <f t="shared" si="0"/>
        <v>&lt;- введите данные, где необходимо</v>
      </c>
      <c r="F20" s="266"/>
      <c r="G20" s="1068"/>
      <c r="H20" s="1069"/>
      <c r="I20" s="914">
        <f>IF($D20=1,CONCATENATE("-",$C20),"")</f>
      </c>
      <c r="J20" s="909">
        <f t="shared" si="2"/>
        <v>0</v>
      </c>
      <c r="R20" s="1"/>
    </row>
    <row r="21" spans="1:18" ht="24.75" customHeight="1">
      <c r="A21" s="261"/>
      <c r="B21" s="625" t="s">
        <v>592</v>
      </c>
      <c r="C21" s="233" t="str">
        <f>IF($H$2=сообщения!$I$46,"","HCl")</f>
        <v>HCl</v>
      </c>
      <c r="D21" s="269"/>
      <c r="E21" s="267" t="str">
        <f t="shared" si="0"/>
        <v>&lt;- введите данные, где необходимо</v>
      </c>
      <c r="F21" s="268"/>
      <c r="G21" s="1068"/>
      <c r="H21" s="1069"/>
      <c r="I21" s="914">
        <f>IF($D21=1,CONCATENATE("-",$C21),"")</f>
      </c>
      <c r="J21" s="909">
        <f t="shared" si="2"/>
        <v>0</v>
      </c>
      <c r="R21" s="1"/>
    </row>
    <row r="22" spans="1:18" ht="24.75" customHeight="1" thickBot="1">
      <c r="A22" s="261"/>
      <c r="B22" s="625"/>
      <c r="C22" s="784" t="s">
        <v>606</v>
      </c>
      <c r="D22" s="783"/>
      <c r="E22" s="255" t="str">
        <f t="shared" si="0"/>
        <v>&lt;- введите данные, где необходимо</v>
      </c>
      <c r="F22"/>
      <c r="G22" s="1070"/>
      <c r="H22" s="1071"/>
      <c r="I22" s="913">
        <f>IF($D22=1,CONCATENATE("-",$C22),"")</f>
      </c>
      <c r="J22" s="910">
        <f t="shared" si="2"/>
        <v>0</v>
      </c>
      <c r="R22" s="1"/>
    </row>
    <row r="23" spans="1:18" ht="14.25" customHeight="1">
      <c r="A23" s="261"/>
      <c r="B23" s="625"/>
      <c r="C23" s="785" t="s">
        <v>607</v>
      </c>
      <c r="D23" s="783"/>
      <c r="E23" s="255" t="str">
        <f t="shared" si="0"/>
        <v>&lt;- введите данные, где необходимо</v>
      </c>
      <c r="F23"/>
      <c r="I23" s="913">
        <f>IF($D23=1,CONCATENATE("-",$C23),"")</f>
      </c>
      <c r="J23" s="250">
        <f t="shared" si="2"/>
        <v>0</v>
      </c>
      <c r="K23" s="198"/>
      <c r="R23" s="1"/>
    </row>
    <row r="24" spans="1:18" ht="14.25" customHeight="1">
      <c r="A24" s="1"/>
      <c r="E24" s="459"/>
      <c r="G24" s="274"/>
      <c r="H24" s="922"/>
      <c r="I24" s="851" t="s">
        <v>349</v>
      </c>
      <c r="J24" s="923">
        <f>SUM(J8:J11)</f>
        <v>0</v>
      </c>
      <c r="K24" s="198"/>
      <c r="R24" s="1"/>
    </row>
    <row r="25" spans="1:12" ht="14.25" customHeight="1">
      <c r="A25" s="1" t="s">
        <v>316</v>
      </c>
      <c r="E25" s="459"/>
      <c r="G25" s="274"/>
      <c r="H25" s="922"/>
      <c r="I25" s="851" t="s">
        <v>351</v>
      </c>
      <c r="J25" s="924">
        <f>SUM(J13:J23)</f>
        <v>0</v>
      </c>
      <c r="K25" s="198"/>
      <c r="L25" s="250"/>
    </row>
    <row r="26" spans="1:11" ht="14.25" customHeight="1">
      <c r="A26" s="1"/>
      <c r="E26" s="459"/>
      <c r="G26" s="274"/>
      <c r="H26" s="922"/>
      <c r="I26" s="851" t="s">
        <v>352</v>
      </c>
      <c r="J26" s="925">
        <f>SUM(J7:J23)</f>
        <v>0</v>
      </c>
      <c r="K26" s="198"/>
    </row>
    <row r="27" spans="9:17" s="274" customFormat="1" ht="14.25" customHeight="1">
      <c r="I27" s="851"/>
      <c r="J27" s="1"/>
      <c r="K27" s="1"/>
      <c r="Q27" s="198"/>
    </row>
    <row r="28" spans="8:17" s="274" customFormat="1" ht="14.25" customHeight="1" hidden="1" thickBot="1">
      <c r="H28" s="1"/>
      <c r="I28" s="1" t="str">
        <f>сообщения!AK46</f>
        <v>Пояснения к коду переносного газоанализатора</v>
      </c>
      <c r="J28" s="1"/>
      <c r="K28" s="1"/>
      <c r="Q28" s="198"/>
    </row>
    <row r="29" spans="8:17" s="274" customFormat="1" ht="14.25" customHeight="1" hidden="1">
      <c r="H29" s="845" t="str">
        <f>сообщения!AJ47</f>
        <v>-И11</v>
      </c>
      <c r="I29" s="1" t="str">
        <f>сообщения!AK47</f>
        <v> – переносной</v>
      </c>
      <c r="J29" s="1"/>
      <c r="K29" s="236">
        <f>IF(J7=1,"92","")</f>
      </c>
      <c r="Q29" s="198"/>
    </row>
    <row r="30" spans="8:17" s="274" customFormat="1" ht="14.25" customHeight="1" hidden="1">
      <c r="H30" s="845">
        <f>сообщения!AJ48</f>
        <v>6</v>
      </c>
      <c r="I30" s="1" t="str">
        <f>сообщения!AK48</f>
        <v> – длина линии связи между блоком датчиков и блоком индикации (по умолчанию - 6 м) </v>
      </c>
      <c r="J30" s="1"/>
      <c r="K30" s="238">
        <f>IF(AND(J24+J12&gt;0,J24+J12&lt;4),"М","")</f>
      </c>
      <c r="Q30" s="198"/>
    </row>
    <row r="31" spans="8:17" s="274" customFormat="1" ht="14.25" customHeight="1" hidden="1" thickBot="1">
      <c r="H31" s="842" t="str">
        <f>сообщения!AJ49</f>
        <v>-/53</v>
      </c>
      <c r="I31" s="1" t="str">
        <f>сообщения!AK49</f>
        <v> – код IP54 блоков датчиков (о потребности изменить защиту оболочкой - сообщать при заказе)</v>
      </c>
      <c r="J31" s="1"/>
      <c r="K31" s="240">
        <f>IF(J25&gt;0,"Т","")</f>
      </c>
      <c r="Q31" s="198"/>
    </row>
    <row r="32" spans="8:17" s="274" customFormat="1" ht="14.25" customHeight="1" hidden="1">
      <c r="H32" s="842" t="str">
        <f>сообщения!AJ51</f>
        <v>/50</v>
      </c>
      <c r="I32" s="1" t="str">
        <f>сообщения!AK51</f>
        <v> – код IP50 блоков индикации</v>
      </c>
      <c r="J32" s="1"/>
      <c r="K32" s="1"/>
      <c r="Q32" s="198"/>
    </row>
    <row r="33" spans="8:17" s="274" customFormat="1" ht="14.25" customHeight="1" hidden="1">
      <c r="H33" s="842" t="str">
        <f>сообщения!AJ52</f>
        <v>-Д2</v>
      </c>
      <c r="I33" s="1" t="str">
        <f>сообщения!AK52</f>
        <v> – с графическим дисплеем</v>
      </c>
      <c r="J33" s="1"/>
      <c r="K33" s="1"/>
      <c r="Q33" s="198"/>
    </row>
    <row r="34" spans="8:17" s="274" customFormat="1" ht="14.25" customHeight="1" hidden="1">
      <c r="H34" s="842" t="str">
        <f>сообщения!AJ53</f>
        <v>Т0</v>
      </c>
      <c r="I34" s="1" t="str">
        <f>сообщения!AK53</f>
        <v> – без токового выхода</v>
      </c>
      <c r="J34" s="1"/>
      <c r="K34" s="1"/>
      <c r="Q34" s="198"/>
    </row>
    <row r="35" spans="8:17" s="274" customFormat="1" ht="14.25" customHeight="1" hidden="1">
      <c r="H35" s="842" t="str">
        <f>сообщения!AJ54</f>
        <v>Ц0</v>
      </c>
      <c r="I35" s="1" t="str">
        <f>сообщения!AK54</f>
        <v> – без цифрового интерфейса</v>
      </c>
      <c r="J35" s="1"/>
      <c r="K35" s="1"/>
      <c r="Q35" s="198"/>
    </row>
    <row r="36" spans="8:17" s="274" customFormat="1" ht="14.25" customHeight="1" hidden="1">
      <c r="H36" s="845" t="str">
        <f>сообщения!AJ55</f>
        <v>-С</v>
      </c>
      <c r="I36"/>
      <c r="J36" s="1"/>
      <c r="K36" s="1"/>
      <c r="Q36" s="198"/>
    </row>
    <row r="37" spans="8:17" s="274" customFormat="1" ht="14.25" customHeight="1" hidden="1">
      <c r="H37">
        <f>сообщения!AJ56</f>
        <v>1</v>
      </c>
      <c r="I37" s="1" t="str">
        <f>сообщения!AK56</f>
        <v> – со звуковой сигнализацией</v>
      </c>
      <c r="J37" s="1"/>
      <c r="K37" s="1"/>
      <c r="Q37" s="198"/>
    </row>
    <row r="38" spans="8:17" s="274" customFormat="1" ht="14.25" customHeight="1" hidden="1">
      <c r="H38">
        <f>сообщения!AJ57</f>
        <v>0</v>
      </c>
      <c r="I38" s="1" t="str">
        <f>сообщения!AK57</f>
        <v> – без звуковой сигнализации</v>
      </c>
      <c r="J38" s="1"/>
      <c r="K38" s="1"/>
      <c r="Q38" s="198"/>
    </row>
    <row r="39" spans="8:17" s="274" customFormat="1" ht="14.25" customHeight="1" hidden="1">
      <c r="H39">
        <f>сообщения!AJ58</f>
        <v>1</v>
      </c>
      <c r="I39" s="1" t="str">
        <f>сообщения!AK58</f>
        <v> – с визуальной сигнализацией</v>
      </c>
      <c r="J39" s="1"/>
      <c r="K39" s="1"/>
      <c r="Q39" s="198"/>
    </row>
    <row r="40" spans="8:17" s="274" customFormat="1" ht="14.25" customHeight="1" hidden="1">
      <c r="H40">
        <f>сообщения!AJ59</f>
        <v>0</v>
      </c>
      <c r="I40" s="1" t="str">
        <f>сообщения!AK59</f>
        <v> – без визуальной сигнализации</v>
      </c>
      <c r="J40" s="1"/>
      <c r="K40" s="1"/>
      <c r="Q40" s="198"/>
    </row>
    <row r="41" spans="8:17" s="274" customFormat="1" ht="14.25" customHeight="1" hidden="1">
      <c r="H41">
        <f>сообщения!AJ60</f>
        <v>0</v>
      </c>
      <c r="I41" s="1" t="str">
        <f>сообщения!AK60</f>
        <v> – сигнализации по RS нет</v>
      </c>
      <c r="J41" s="1"/>
      <c r="K41" s="1"/>
      <c r="Q41" s="198"/>
    </row>
    <row r="42" spans="8:17" s="274" customFormat="1" ht="14.25" customHeight="1" hidden="1">
      <c r="H42" s="849" t="str">
        <f>сообщения!AJ61</f>
        <v>-=A5</v>
      </c>
      <c r="I42" s="1" t="str">
        <f>сообщения!AK61</f>
        <v> – напряжение питания от встроенного аккумулятора</v>
      </c>
      <c r="J42" s="1"/>
      <c r="K42" s="1"/>
      <c r="Q42" s="198"/>
    </row>
    <row r="43" spans="10:17" s="274" customFormat="1" ht="14.25" customHeight="1" hidden="1">
      <c r="J43" s="1"/>
      <c r="K43" s="1"/>
      <c r="Q43" s="198"/>
    </row>
    <row r="44" spans="10:17" s="274" customFormat="1" ht="14.25" customHeight="1" hidden="1">
      <c r="J44" s="1"/>
      <c r="K44" s="1"/>
      <c r="Q44" s="198"/>
    </row>
    <row r="45" spans="10:17" s="274" customFormat="1" ht="14.25" customHeight="1" hidden="1">
      <c r="J45" s="1"/>
      <c r="K45" s="1"/>
      <c r="Q45" s="198"/>
    </row>
    <row r="46" spans="10:17" s="274" customFormat="1" ht="14.25" customHeight="1" hidden="1">
      <c r="J46" s="1"/>
      <c r="K46" s="1"/>
      <c r="Q46" s="198"/>
    </row>
    <row r="47" spans="8:17" s="274" customFormat="1" ht="14.25" customHeight="1" hidden="1">
      <c r="H47" t="s">
        <v>318</v>
      </c>
      <c r="J47" s="1"/>
      <c r="K47" s="1"/>
      <c r="Q47" s="198"/>
    </row>
    <row r="48" spans="8:17" s="274" customFormat="1" ht="14.25" customHeight="1" hidden="1">
      <c r="H48" t="s">
        <v>595</v>
      </c>
      <c r="I48" s="198"/>
      <c r="J48" s="1"/>
      <c r="K48" s="1"/>
      <c r="Q48" s="198"/>
    </row>
    <row r="49" spans="9:17" s="274" customFormat="1" ht="14.25" customHeight="1" hidden="1">
      <c r="I49" s="198"/>
      <c r="J49" s="1"/>
      <c r="K49" s="1"/>
      <c r="Q49" s="198"/>
    </row>
    <row r="50" spans="9:17" s="274" customFormat="1" ht="14.25" customHeight="1">
      <c r="I50" s="198"/>
      <c r="J50" s="1"/>
      <c r="K50" s="1"/>
      <c r="Q50" s="198"/>
    </row>
    <row r="51" spans="9:17" s="274" customFormat="1" ht="14.25" customHeight="1">
      <c r="I51" s="198"/>
      <c r="J51" s="1"/>
      <c r="K51" s="1"/>
      <c r="Q51" s="198"/>
    </row>
    <row r="52" spans="9:17" s="274" customFormat="1" ht="15.75" customHeight="1">
      <c r="I52" s="198"/>
      <c r="J52" s="1"/>
      <c r="K52" s="1"/>
      <c r="Q52" s="198"/>
    </row>
    <row r="53" spans="9:17" s="274" customFormat="1" ht="15.75" customHeight="1">
      <c r="I53" s="198"/>
      <c r="J53" s="1"/>
      <c r="K53" s="1"/>
      <c r="Q53" s="198"/>
    </row>
    <row r="54" spans="9:17" s="274" customFormat="1" ht="15.75" customHeight="1">
      <c r="I54" s="198"/>
      <c r="J54" s="1"/>
      <c r="K54" s="1"/>
      <c r="Q54" s="198"/>
    </row>
  </sheetData>
  <sheetProtection selectLockedCells="1" selectUnlockedCells="1"/>
  <mergeCells count="2">
    <mergeCell ref="L1:N4"/>
    <mergeCell ref="G16:H22"/>
  </mergeCells>
  <dataValidations count="2">
    <dataValidation type="list" allowBlank="1" showInputMessage="1" showErrorMessage="1" sqref="H2">
      <formula1>$H$47:$H$48</formula1>
    </dataValidation>
    <dataValidation type="whole" allowBlank="1" showInputMessage="1" showErrorMessage="1" errorTitle="ВНИМАНИЕ" error="В приборах с выносным блоком датчика длина кабеля должна быть не менее 1  и не более 30 метров" sqref="L7">
      <formula1>1</formula1>
      <formula2>30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E22" sqref="E22:G28"/>
    </sheetView>
  </sheetViews>
  <sheetFormatPr defaultColWidth="9.00390625" defaultRowHeight="12.75"/>
  <cols>
    <col min="1" max="1" width="13.25390625" style="0" customWidth="1"/>
    <col min="2" max="2" width="12.00390625" style="0" customWidth="1"/>
  </cols>
  <sheetData>
    <row r="2" spans="1:7" ht="12.75" customHeight="1">
      <c r="A2" s="189" t="s">
        <v>303</v>
      </c>
      <c r="B2" s="1"/>
      <c r="C2" s="1"/>
      <c r="D2" s="1"/>
      <c r="E2" s="1"/>
      <c r="F2" s="1"/>
      <c r="G2" s="1"/>
    </row>
    <row r="3" spans="1:7" ht="13.5" customHeight="1" thickBot="1">
      <c r="A3" s="1" t="s">
        <v>316</v>
      </c>
      <c r="B3" s="1"/>
      <c r="C3" s="1"/>
      <c r="D3" s="1"/>
      <c r="E3" s="1"/>
      <c r="F3" s="1"/>
      <c r="G3" s="1"/>
    </row>
    <row r="4" spans="1:7" ht="30.75" customHeight="1" thickBot="1">
      <c r="A4" s="190" t="s">
        <v>304</v>
      </c>
      <c r="B4" s="191" t="s">
        <v>305</v>
      </c>
      <c r="C4" s="192" t="s">
        <v>306</v>
      </c>
      <c r="D4" s="193" t="s">
        <v>307</v>
      </c>
      <c r="E4" s="194" t="s">
        <v>308</v>
      </c>
      <c r="F4" s="194" t="s">
        <v>309</v>
      </c>
      <c r="G4" s="192" t="s">
        <v>310</v>
      </c>
    </row>
    <row r="5" spans="1:7" ht="13.5" customHeight="1" thickBot="1">
      <c r="A5" s="935" t="s">
        <v>311</v>
      </c>
      <c r="B5" s="936" t="s">
        <v>136</v>
      </c>
      <c r="C5" s="939">
        <v>1</v>
      </c>
      <c r="D5" s="940">
        <v>9960</v>
      </c>
      <c r="E5" s="941">
        <f aca="true" t="shared" si="0" ref="E5:E20">ROUND(D5*0.975,-1)</f>
        <v>9710</v>
      </c>
      <c r="F5" s="941">
        <f aca="true" t="shared" si="1" ref="F5:F20">ROUND(D5*0.95,-1)</f>
        <v>9460</v>
      </c>
      <c r="G5" s="942">
        <f>VLOOKUP(B5,СГИ!$A$8:$G$27,7,TRUE)</f>
        <v>2</v>
      </c>
    </row>
    <row r="6" spans="1:7" ht="15" customHeight="1" thickBot="1">
      <c r="A6" s="935" t="s">
        <v>312</v>
      </c>
      <c r="B6" s="936" t="s">
        <v>783</v>
      </c>
      <c r="C6" s="943">
        <v>1</v>
      </c>
      <c r="D6" s="940">
        <v>7650</v>
      </c>
      <c r="E6" s="941">
        <f t="shared" si="0"/>
        <v>7460</v>
      </c>
      <c r="F6" s="941">
        <f t="shared" si="1"/>
        <v>7270</v>
      </c>
      <c r="G6" s="942">
        <f>VLOOKUP(B6,СГИ!$A$8:$G$27,7,TRUE)</f>
        <v>2</v>
      </c>
    </row>
    <row r="7" spans="1:7" ht="15" thickBot="1">
      <c r="A7" s="935" t="s">
        <v>312</v>
      </c>
      <c r="B7" s="936" t="s">
        <v>784</v>
      </c>
      <c r="C7" s="943">
        <v>1</v>
      </c>
      <c r="D7" s="940">
        <v>9160</v>
      </c>
      <c r="E7" s="941">
        <f t="shared" si="0"/>
        <v>8930</v>
      </c>
      <c r="F7" s="941">
        <f t="shared" si="1"/>
        <v>8700</v>
      </c>
      <c r="G7" s="942">
        <f>VLOOKUP(B7,СГИ!$A$8:$G$27,7,TRUE)</f>
        <v>2</v>
      </c>
    </row>
    <row r="8" spans="1:7" ht="15" thickBot="1">
      <c r="A8" s="935" t="s">
        <v>312</v>
      </c>
      <c r="B8" s="936" t="s">
        <v>785</v>
      </c>
      <c r="C8" s="943">
        <v>1</v>
      </c>
      <c r="D8" s="940">
        <v>9160</v>
      </c>
      <c r="E8" s="941">
        <f t="shared" si="0"/>
        <v>8930</v>
      </c>
      <c r="F8" s="941">
        <f t="shared" si="1"/>
        <v>8700</v>
      </c>
      <c r="G8" s="942">
        <f>VLOOKUP(B8,СГИ!$A$8:$G$27,7,TRUE)</f>
        <v>2</v>
      </c>
    </row>
    <row r="9" spans="1:7" ht="15" thickBot="1">
      <c r="A9" s="935" t="s">
        <v>312</v>
      </c>
      <c r="B9" s="936" t="s">
        <v>786</v>
      </c>
      <c r="C9" s="943">
        <v>1</v>
      </c>
      <c r="D9" s="940">
        <v>9160</v>
      </c>
      <c r="E9" s="941">
        <f t="shared" si="0"/>
        <v>8930</v>
      </c>
      <c r="F9" s="941">
        <f t="shared" si="1"/>
        <v>8700</v>
      </c>
      <c r="G9" s="942">
        <f>VLOOKUP(B9,СГИ!$A$8:$G$27,7,TRUE)</f>
        <v>2</v>
      </c>
    </row>
    <row r="10" spans="1:7" ht="15" thickBot="1">
      <c r="A10" s="935" t="s">
        <v>312</v>
      </c>
      <c r="B10" s="936" t="s">
        <v>787</v>
      </c>
      <c r="C10" s="943">
        <v>1</v>
      </c>
      <c r="D10" s="940">
        <v>19980</v>
      </c>
      <c r="E10" s="941">
        <f t="shared" si="0"/>
        <v>19480</v>
      </c>
      <c r="F10" s="941">
        <f aca="true" t="shared" si="2" ref="F10:F15">ROUND(D10*0.95,-1)</f>
        <v>18980</v>
      </c>
      <c r="G10" s="942">
        <v>2</v>
      </c>
    </row>
    <row r="11" spans="1:7" ht="15" thickBot="1">
      <c r="A11" s="935" t="s">
        <v>311</v>
      </c>
      <c r="B11" s="936" t="s">
        <v>788</v>
      </c>
      <c r="C11" s="943">
        <v>1</v>
      </c>
      <c r="D11" s="940">
        <v>9510</v>
      </c>
      <c r="E11" s="941">
        <f t="shared" si="0"/>
        <v>9270</v>
      </c>
      <c r="F11" s="941">
        <f t="shared" si="2"/>
        <v>9030</v>
      </c>
      <c r="G11" s="942">
        <f>VLOOKUP(B11,СГИ!$A$8:$G$27,7,TRUE)</f>
        <v>2</v>
      </c>
    </row>
    <row r="12" spans="1:7" ht="15" thickBot="1">
      <c r="A12" s="935" t="s">
        <v>311</v>
      </c>
      <c r="B12" s="936" t="s">
        <v>789</v>
      </c>
      <c r="C12" s="943">
        <v>1</v>
      </c>
      <c r="D12" s="940">
        <v>11040</v>
      </c>
      <c r="E12" s="941">
        <f t="shared" si="0"/>
        <v>10760</v>
      </c>
      <c r="F12" s="941">
        <f t="shared" si="2"/>
        <v>10490</v>
      </c>
      <c r="G12" s="942">
        <f>VLOOKUP(B12,СГИ!$A$8:$G$27,7,TRUE)</f>
        <v>3</v>
      </c>
    </row>
    <row r="13" spans="1:7" ht="15" thickBot="1">
      <c r="A13" s="935" t="s">
        <v>311</v>
      </c>
      <c r="B13" s="936" t="s">
        <v>790</v>
      </c>
      <c r="C13" s="943">
        <v>1</v>
      </c>
      <c r="D13" s="940">
        <v>10000</v>
      </c>
      <c r="E13" s="941">
        <f t="shared" si="0"/>
        <v>9750</v>
      </c>
      <c r="F13" s="941">
        <f t="shared" si="2"/>
        <v>9500</v>
      </c>
      <c r="G13" s="942">
        <f>VLOOKUP(B13,СГИ!$A$8:$G$27,7,TRUE)</f>
        <v>1</v>
      </c>
    </row>
    <row r="14" spans="1:7" ht="15" thickBot="1">
      <c r="A14" s="935" t="s">
        <v>311</v>
      </c>
      <c r="B14" s="936" t="s">
        <v>791</v>
      </c>
      <c r="C14" s="943">
        <v>1</v>
      </c>
      <c r="D14" s="940">
        <v>10310</v>
      </c>
      <c r="E14" s="941">
        <f t="shared" si="0"/>
        <v>10050</v>
      </c>
      <c r="F14" s="941">
        <f t="shared" si="2"/>
        <v>9790</v>
      </c>
      <c r="G14" s="942">
        <f>VLOOKUP(B14,СГИ!$A$8:$G$27,7,TRUE)</f>
        <v>1</v>
      </c>
    </row>
    <row r="15" spans="1:7" ht="14.25" customHeight="1" thickBot="1">
      <c r="A15" s="935" t="s">
        <v>311</v>
      </c>
      <c r="B15" s="936" t="s">
        <v>792</v>
      </c>
      <c r="C15" s="943">
        <v>1</v>
      </c>
      <c r="D15" s="940">
        <v>19980</v>
      </c>
      <c r="E15" s="941">
        <f t="shared" si="0"/>
        <v>19480</v>
      </c>
      <c r="F15" s="941">
        <f t="shared" si="2"/>
        <v>18980</v>
      </c>
      <c r="G15" s="942">
        <f>VLOOKUP(B15,СГИ!$A$8:$G$27,7,TRUE)</f>
        <v>1</v>
      </c>
    </row>
    <row r="16" spans="1:7" ht="15" hidden="1" thickBot="1">
      <c r="A16" s="937" t="s">
        <v>782</v>
      </c>
      <c r="B16" s="938" t="s">
        <v>793</v>
      </c>
      <c r="C16" s="944">
        <v>1</v>
      </c>
      <c r="D16" s="945">
        <v>19980</v>
      </c>
      <c r="E16" s="946">
        <f t="shared" si="0"/>
        <v>19480</v>
      </c>
      <c r="F16" s="946">
        <f t="shared" si="1"/>
        <v>18980</v>
      </c>
      <c r="G16" s="947">
        <f>VLOOKUP(B16,СГИ!$A$8:$G$27,7,TRUE)</f>
        <v>2</v>
      </c>
    </row>
    <row r="17" spans="1:7" ht="13.5" thickBot="1">
      <c r="A17" s="935" t="s">
        <v>311</v>
      </c>
      <c r="B17" s="936" t="s">
        <v>117</v>
      </c>
      <c r="C17" s="943">
        <v>1</v>
      </c>
      <c r="D17" s="940">
        <v>22170</v>
      </c>
      <c r="E17" s="941">
        <f t="shared" si="0"/>
        <v>21620</v>
      </c>
      <c r="F17" s="941">
        <f t="shared" si="1"/>
        <v>21060</v>
      </c>
      <c r="G17" s="942">
        <f>VLOOKUP(B17,СГИ!$A$8:$G$27,7,TRUE)</f>
        <v>2</v>
      </c>
    </row>
    <row r="18" spans="1:7" ht="13.5" thickBot="1">
      <c r="A18" s="935" t="s">
        <v>311</v>
      </c>
      <c r="B18" s="936" t="s">
        <v>48</v>
      </c>
      <c r="C18" s="943">
        <v>1</v>
      </c>
      <c r="D18" s="940">
        <v>20870</v>
      </c>
      <c r="E18" s="941">
        <f t="shared" si="0"/>
        <v>20350</v>
      </c>
      <c r="F18" s="941">
        <f t="shared" si="1"/>
        <v>19830</v>
      </c>
      <c r="G18" s="942">
        <f>VLOOKUP(B18,СГИ!$A$8:$G$27,7,TRUE)</f>
        <v>1</v>
      </c>
    </row>
    <row r="19" spans="1:7" ht="15" thickBot="1">
      <c r="A19" s="935" t="s">
        <v>311</v>
      </c>
      <c r="B19" s="936" t="s">
        <v>794</v>
      </c>
      <c r="C19" s="943">
        <v>1</v>
      </c>
      <c r="D19" s="940">
        <v>15000</v>
      </c>
      <c r="E19" s="941">
        <f t="shared" si="0"/>
        <v>14630</v>
      </c>
      <c r="F19" s="941">
        <f t="shared" si="1"/>
        <v>14250</v>
      </c>
      <c r="G19" s="942">
        <f>VLOOKUP(B19,СГИ!$A$8:$G$27,7,TRUE)</f>
        <v>1</v>
      </c>
    </row>
    <row r="20" spans="1:7" ht="15" thickBot="1">
      <c r="A20" s="935" t="s">
        <v>313</v>
      </c>
      <c r="B20" s="936" t="s">
        <v>795</v>
      </c>
      <c r="C20" s="948">
        <v>1</v>
      </c>
      <c r="D20" s="940">
        <v>13080</v>
      </c>
      <c r="E20" s="941">
        <f t="shared" si="0"/>
        <v>12750</v>
      </c>
      <c r="F20" s="941">
        <f t="shared" si="1"/>
        <v>12430</v>
      </c>
      <c r="G20" s="942">
        <f>VLOOKUP(B20,СГИ!$A$8:$G$27,7,TRUE)</f>
        <v>1</v>
      </c>
    </row>
    <row r="21" spans="1:7" ht="13.5" thickBot="1">
      <c r="A21" s="1"/>
      <c r="B21" s="1"/>
      <c r="C21" s="1"/>
      <c r="D21" s="1"/>
      <c r="E21" s="1"/>
      <c r="F21" s="1"/>
      <c r="G21" s="1"/>
    </row>
    <row r="22" spans="1:7" ht="13.5" thickBot="1">
      <c r="A22" s="196" t="str">
        <f>ПРАЙС!B353</f>
        <v>Блок коммутации БКУ</v>
      </c>
      <c r="B22" s="197"/>
      <c r="C22" s="197"/>
      <c r="D22" s="957">
        <f>СГИ!D32</f>
        <v>9870</v>
      </c>
      <c r="E22" s="1072" t="s">
        <v>799</v>
      </c>
      <c r="F22" s="1073"/>
      <c r="G22" s="1074"/>
    </row>
    <row r="23" spans="1:7" ht="13.5" thickBot="1">
      <c r="A23" s="196" t="str">
        <f>ПРАЙС!B354</f>
        <v>Блок коммутации БР10М</v>
      </c>
      <c r="B23" s="197"/>
      <c r="C23" s="197"/>
      <c r="D23" s="958">
        <f>СГИ!D60</f>
        <v>1950</v>
      </c>
      <c r="E23" s="1075"/>
      <c r="F23" s="1076"/>
      <c r="G23" s="1077"/>
    </row>
    <row r="24" spans="1:7" ht="13.5" customHeight="1" thickBot="1">
      <c r="A24" s="196" t="str">
        <f>ПРАЙС!B355</f>
        <v>Блок коммутации РП</v>
      </c>
      <c r="B24" s="197"/>
      <c r="C24" s="197"/>
      <c r="D24" s="958">
        <f>ПРАЙС!F355</f>
        <v>1100</v>
      </c>
      <c r="E24" s="1075"/>
      <c r="F24" s="1076"/>
      <c r="G24" s="1077"/>
    </row>
    <row r="25" spans="1:7" ht="13.5" customHeight="1" thickBot="1">
      <c r="A25" s="196" t="s">
        <v>291</v>
      </c>
      <c r="B25" s="197"/>
      <c r="C25" s="197"/>
      <c r="D25" s="958">
        <v>1660</v>
      </c>
      <c r="E25" s="1075"/>
      <c r="F25" s="1076"/>
      <c r="G25" s="1077"/>
    </row>
    <row r="26" spans="1:7" ht="13.5" customHeight="1" thickBot="1">
      <c r="A26" s="196" t="str">
        <f>ПРАЙС!B366</f>
        <v>Блок питания БП-60-24 (24В, 60Вт)</v>
      </c>
      <c r="B26" s="197"/>
      <c r="C26" s="197"/>
      <c r="D26" s="958">
        <f>ПРАЙС!F366</f>
        <v>2600</v>
      </c>
      <c r="E26" s="1075"/>
      <c r="F26" s="1076"/>
      <c r="G26" s="1077"/>
    </row>
    <row r="27" spans="1:7" ht="13.5" customHeight="1" thickBot="1">
      <c r="A27" s="196" t="s">
        <v>531</v>
      </c>
      <c r="B27" s="197"/>
      <c r="C27" s="197"/>
      <c r="D27" s="958">
        <f>ПРАЙС!F358</f>
        <v>990</v>
      </c>
      <c r="E27" s="1075"/>
      <c r="F27" s="1076"/>
      <c r="G27" s="1077"/>
    </row>
    <row r="28" spans="1:8" ht="15" customHeight="1" thickBot="1">
      <c r="A28" s="196" t="str">
        <f>ПРАЙС!B363</f>
        <v>Тестовый кабель, USB-RS485 EDGK</v>
      </c>
      <c r="B28" s="197"/>
      <c r="C28" s="197"/>
      <c r="D28" s="958">
        <f>ПРАЙС!F363</f>
        <v>1500</v>
      </c>
      <c r="E28" s="1078"/>
      <c r="F28" s="1079"/>
      <c r="G28" s="1080"/>
      <c r="H28" t="s">
        <v>316</v>
      </c>
    </row>
  </sheetData>
  <sheetProtection/>
  <mergeCells count="1">
    <mergeCell ref="E22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C7" sqref="C7"/>
    </sheetView>
  </sheetViews>
  <sheetFormatPr defaultColWidth="8.875" defaultRowHeight="12.75"/>
  <cols>
    <col min="1" max="1" width="6.25390625" style="1" customWidth="1"/>
    <col min="2" max="2" width="13.125" style="1" customWidth="1"/>
    <col min="3" max="3" width="10.375" style="1" customWidth="1"/>
    <col min="4" max="4" width="10.75390625" style="1" customWidth="1"/>
    <col min="5" max="5" width="25.25390625" style="1" customWidth="1"/>
    <col min="6" max="6" width="16.75390625" style="1" customWidth="1"/>
    <col min="7" max="7" width="48.125" style="1" customWidth="1"/>
    <col min="8" max="9" width="14.625" style="1" hidden="1" customWidth="1"/>
    <col min="10" max="10" width="29.125" style="1" hidden="1" customWidth="1"/>
    <col min="11" max="11" width="4.875" style="1" hidden="1" customWidth="1"/>
    <col min="12" max="12" width="14.125" style="241" hidden="1" customWidth="1"/>
    <col min="13" max="15" width="4.875" style="198" hidden="1" customWidth="1"/>
    <col min="16" max="34" width="4.875" style="1" hidden="1" customWidth="1"/>
    <col min="35" max="35" width="50.75390625" style="1" hidden="1" customWidth="1"/>
    <col min="36" max="16384" width="8.875" style="1" customWidth="1"/>
  </cols>
  <sheetData>
    <row r="1" spans="1:16" ht="15" customHeight="1">
      <c r="A1" s="202" t="s">
        <v>357</v>
      </c>
      <c r="B1" s="242"/>
      <c r="C1" s="242"/>
      <c r="D1" s="242"/>
      <c r="H1" s="201"/>
      <c r="I1" s="1081"/>
      <c r="J1" s="1081"/>
      <c r="L1" s="1"/>
      <c r="M1" s="1"/>
      <c r="N1" s="1"/>
      <c r="O1" s="1"/>
      <c r="P1" s="243"/>
    </row>
    <row r="2" spans="1:16" ht="12" customHeight="1">
      <c r="A2" s="244" t="s">
        <v>800</v>
      </c>
      <c r="C2" s="242"/>
      <c r="D2" s="242"/>
      <c r="E2" s="242"/>
      <c r="F2" s="242"/>
      <c r="G2" s="242"/>
      <c r="H2" s="242"/>
      <c r="I2" s="1081"/>
      <c r="J2" s="1081"/>
      <c r="L2" s="1"/>
      <c r="M2" s="1"/>
      <c r="N2" s="1"/>
      <c r="O2" s="1"/>
      <c r="P2" s="245"/>
    </row>
    <row r="3" spans="1:15" ht="12" customHeight="1">
      <c r="A3" s="242" t="s">
        <v>359</v>
      </c>
      <c r="B3" s="242"/>
      <c r="C3" s="242"/>
      <c r="D3" s="242"/>
      <c r="E3" s="242"/>
      <c r="F3" s="242"/>
      <c r="G3" s="242"/>
      <c r="H3" s="242"/>
      <c r="I3" s="1081"/>
      <c r="J3" s="1081"/>
      <c r="L3" s="1"/>
      <c r="M3" s="1"/>
      <c r="N3" s="1"/>
      <c r="O3" s="1"/>
    </row>
    <row r="4" spans="1:15" ht="15.75" customHeight="1" thickBot="1">
      <c r="A4" s="242" t="s">
        <v>316</v>
      </c>
      <c r="B4" s="242" t="s">
        <v>316</v>
      </c>
      <c r="C4" s="242"/>
      <c r="D4" s="242"/>
      <c r="E4" s="242"/>
      <c r="F4" s="950"/>
      <c r="G4" s="242"/>
      <c r="H4" s="242"/>
      <c r="I4" s="1081"/>
      <c r="J4" s="1081"/>
      <c r="L4" s="1"/>
      <c r="M4" s="1"/>
      <c r="N4" s="1"/>
      <c r="O4" s="1"/>
    </row>
    <row r="5" spans="1:15" ht="13.5" thickBot="1">
      <c r="A5" s="279"/>
      <c r="B5" s="280" t="s">
        <v>360</v>
      </c>
      <c r="C5" s="247" t="s">
        <v>353</v>
      </c>
      <c r="D5"/>
      <c r="E5"/>
      <c r="F5" s="549"/>
      <c r="G5" s="550"/>
      <c r="H5" s="956"/>
      <c r="I5" s="1081"/>
      <c r="J5" s="1081"/>
      <c r="L5" s="212" t="s">
        <v>321</v>
      </c>
      <c r="N5" s="593" t="str">
        <f>IF(OR(G7="углеводороды не определяются селективно",G7="превышение числа каналов",G7="данные не введены"),"проверьте ввод данных",ROUND(O38,-1))</f>
        <v>проверьте ввод данных</v>
      </c>
      <c r="O5" s="1"/>
    </row>
    <row r="6" spans="1:33" ht="28.5" customHeight="1" thickBot="1">
      <c r="A6" s="281"/>
      <c r="B6" s="282" t="s">
        <v>323</v>
      </c>
      <c r="C6" s="283" t="s">
        <v>362</v>
      </c>
      <c r="D6"/>
      <c r="E6"/>
      <c r="F6" s="547" t="s">
        <v>325</v>
      </c>
      <c r="G6" s="548" t="s">
        <v>355</v>
      </c>
      <c r="H6" s="955" t="s">
        <v>363</v>
      </c>
      <c r="I6" s="799" t="s">
        <v>306</v>
      </c>
      <c r="J6" s="250"/>
      <c r="L6" s="395" t="s">
        <v>356</v>
      </c>
      <c r="N6" s="251"/>
      <c r="O6" s="216">
        <f>IF(N7="","",N7)</f>
      </c>
      <c r="P6" s="216">
        <f>IF(N8="","",N8)</f>
      </c>
      <c r="Q6" s="216">
        <f>IF(N9="","",N9)</f>
      </c>
      <c r="R6" s="216">
        <f>IF(N10="","",N10)</f>
      </c>
      <c r="S6" s="510">
        <f>IF(N11="","",N11)</f>
      </c>
      <c r="T6" s="217">
        <f>IF(N12="","",N12)</f>
      </c>
      <c r="U6" s="217">
        <f>IF(N13="","",N13)</f>
      </c>
      <c r="V6" s="217">
        <f>IF(N15="","",N15)</f>
      </c>
      <c r="W6" s="217">
        <f>IF(N16="","",N16)</f>
      </c>
      <c r="X6" s="217">
        <f>IF(N17="","",N17)</f>
      </c>
      <c r="Y6" s="217">
        <f>IF(N18="","",N18)</f>
      </c>
      <c r="Z6" s="217">
        <f>IF(N19="","",N19)</f>
      </c>
      <c r="AA6" s="217">
        <f>IF(N20="","",N20)</f>
      </c>
      <c r="AB6" s="217">
        <f>IF(N21="","",N21)</f>
      </c>
      <c r="AC6" s="217">
        <f>IF(N22="","",N22)</f>
      </c>
      <c r="AD6" s="217">
        <f>IF(N23="","",N23)</f>
      </c>
      <c r="AE6" s="217">
        <f>IF(N24="","",N24)</f>
      </c>
      <c r="AF6" s="217">
        <f>IF(N25="","",N25)</f>
      </c>
      <c r="AG6" s="218">
        <f>CONCATENATE(AG7,AG8,AG9,AG10,AG11,AG12,AG13,AG15,AG16,AG17,AG18,AG19,AG20,AG21,AG22,AG23,AG24,AG25)</f>
      </c>
    </row>
    <row r="7" spans="1:33" ht="21" customHeight="1" thickBot="1">
      <c r="A7" s="284"/>
      <c r="B7" s="285" t="s">
        <v>331</v>
      </c>
      <c r="C7" s="286"/>
      <c r="D7" s="255" t="str">
        <f>IF(SUM(C$7:C$21)&gt;4,"&lt;- сумма не должна быть более 4",IF(OR(C7=2,C7=3,C7=4,AND(C$11&gt;0,C7&gt;0)),"&lt;- уменьшите количество каналов",IF(OR(SUM(C$7:C$21)=4,AND(C$11=1,I$31=1)),"&lt;- дальнейший ввод невозможен",IF(C7=1,"","&lt;- введите данные, если необходимо"))))</f>
        <v>&lt;- введите данные, если необходимо</v>
      </c>
      <c r="E7"/>
      <c r="F7" s="537" t="s">
        <v>332</v>
      </c>
      <c r="G7" s="538" t="str">
        <f>IF(OR(I31&gt;4,SUM(C8:C13)&gt;1,SUM(C14:C23)&gt;2),"превышение числа каналов",IF(AND(C10=1,I31&gt;1),"превышение числа каналов",J30))</f>
        <v>данные не введены</v>
      </c>
      <c r="H7" s="552">
        <f aca="true" t="shared" si="0" ref="H7:H23">IF($C7=1,CONCATENATE("-",$B7),"")</f>
      </c>
      <c r="I7" s="503">
        <f aca="true" t="shared" si="1" ref="I7:I23">IF(H7="",0,1)</f>
        <v>0</v>
      </c>
      <c r="L7" s="512">
        <f>IF(C7&gt;0,ПГ!S7,"")</f>
      </c>
      <c r="N7" s="220">
        <f>MID(H7,2,9)</f>
      </c>
      <c r="O7" s="221">
        <f>IF(IF(ISNA(INDEX(СГИ!$Q$3:$AJ$22,VLOOKUP($N7,СГИ!$O$3:$P$22,2),HLOOKUP(O$6,СГИ!$Q$1:$AJ$2,2))),"",INDEX(СГИ!$Q$3:$AJ$22,VLOOKUP($N7,СГИ!$O$3:$P$22,2),HLOOKUP(O$6,СГИ!$Q$1:$AJ$2,2)))=1,CONCATENATE("при измерении ",$N7," ",O$6," не допускается ! "),"")</f>
      </c>
      <c r="P7" s="221">
        <f>IF(IF(ISNA(INDEX(СГИ!$Q$3:$AJ$22,VLOOKUP($N7,СГИ!$O$3:$P$22,2),HLOOKUP(P$6,СГИ!$Q$1:$AJ$2,2))),"",INDEX(СГИ!$Q$3:$AJ$22,VLOOKUP($N7,СГИ!$O$3:$P$22,2),HLOOKUP(P$6,СГИ!$Q$1:$AJ$2,2)))=1,CONCATENATE("при измерении ",$N7," ",P$6," не допускается ! "),"")</f>
      </c>
      <c r="Q7" s="221">
        <f>IF(IF(ISNA(INDEX(СГИ!$Q$3:$AJ$22,VLOOKUP($N7,СГИ!$O$3:$P$22,2),HLOOKUP(Q$6,СГИ!$Q$1:$AJ$2,2))),"",INDEX(СГИ!$Q$3:$AJ$22,VLOOKUP($N7,СГИ!$O$3:$P$22,2),HLOOKUP(Q$6,СГИ!$Q$1:$AJ$2,2)))=1,CONCATENATE("при измерении ",$N7," ",Q$6," не допускается ! "),"")</f>
      </c>
      <c r="R7" s="221">
        <f>IF(IF(ISNA(INDEX(СГИ!$Q$3:$AJ$22,VLOOKUP($N7,СГИ!$O$3:$P$22,2),HLOOKUP(R$6,СГИ!$Q$1:$AJ$2,2))),"",INDEX(СГИ!$Q$3:$AJ$22,VLOOKUP($N7,СГИ!$O$3:$P$22,2),HLOOKUP(R$6,СГИ!$Q$1:$AJ$2,2)))=1,CONCATENATE("при измерении ",$N7," ",R$6," не допускается ! "),"")</f>
      </c>
      <c r="S7" s="221">
        <f>IF(IF(ISNA(INDEX(СГИ!$Q$3:$AJ$22,VLOOKUP($N7,СГИ!$O$3:$P$22,2),HLOOKUP(S$6,СГИ!$Q$1:$AJ$2,2))),"",INDEX(СГИ!$Q$3:$AJ$22,VLOOKUP($N7,СГИ!$O$3:$P$22,2),HLOOKUP(S$6,СГИ!$Q$1:$AJ$2,2)))=1,CONCATENATE("при измерении ",$N7," ",S$6," не допускается ! "),"")</f>
      </c>
      <c r="T7" s="221">
        <f>IF(IF(ISNA(INDEX(СГИ!$Q$3:$AJ$22,VLOOKUP($N7,СГИ!$O$3:$P$22,2),HLOOKUP(T$6,СГИ!$Q$1:$AJ$2,2))),"",INDEX(СГИ!$Q$3:$AJ$22,VLOOKUP($N7,СГИ!$O$3:$P$22,2),HLOOKUP(T$6,СГИ!$Q$1:$AJ$2,2)))=1,CONCATENATE("при измерении ",$N7," ",T$6," не допускается ! "),"")</f>
      </c>
      <c r="U7" s="221">
        <f>IF(IF(ISNA(INDEX(СГИ!$Q$3:$AJ$22,VLOOKUP($N7,СГИ!$O$3:$P$22,2),HLOOKUP(U$6,СГИ!$Q$1:$AJ$2,2))),"",INDEX(СГИ!$Q$3:$AJ$22,VLOOKUP($N7,СГИ!$O$3:$P$22,2),HLOOKUP(U$6,СГИ!$Q$1:$AJ$2,2)))=1,CONCATENATE("при измерении ",$N7," ",U$6," не допускается ! "),"")</f>
      </c>
      <c r="V7" s="221">
        <f>IF(IF(ISNA(INDEX(СГИ!$Q$3:$AJ$22,VLOOKUP($N7,СГИ!$O$3:$P$22,2),HLOOKUP(V$6,СГИ!$Q$1:$AJ$2,2))),"",INDEX(СГИ!$Q$3:$AJ$22,VLOOKUP($N7,СГИ!$O$3:$P$22,2),HLOOKUP(V$6,СГИ!$Q$1:$AJ$2,2)))=1,CONCATENATE("при измерении ",$N7," ",V$6," не допускается ! "),"")</f>
      </c>
      <c r="W7" s="221">
        <f>IF(IF(ISNA(INDEX(СГИ!$Q$3:$AJ$22,VLOOKUP($N7,СГИ!$O$3:$P$22,2),HLOOKUP(W$6,СГИ!$Q$1:$AJ$2,2))),"",INDEX(СГИ!$Q$3:$AJ$22,VLOOKUP($N7,СГИ!$O$3:$P$22,2),HLOOKUP(W$6,СГИ!$Q$1:$AJ$2,2)))=1,CONCATENATE("при измерении ",$N7," ",W$6," не допускается ! "),"")</f>
      </c>
      <c r="X7" s="221">
        <f>IF(IF(ISNA(INDEX(СГИ!$Q$3:$AJ$22,VLOOKUP($N7,СГИ!$O$3:$P$22,2),HLOOKUP(X$6,СГИ!$Q$1:$AJ$2,2))),"",INDEX(СГИ!$Q$3:$AJ$22,VLOOKUP($N7,СГИ!$O$3:$P$22,2),HLOOKUP(X$6,СГИ!$Q$1:$AJ$2,2)))=1,CONCATENATE("при измерении ",$N7," ",X$6," не допускается ! "),"")</f>
      </c>
      <c r="Y7" s="221">
        <f>IF(IF(ISNA(INDEX(СГИ!$Q$3:$AJ$22,VLOOKUP($N7,СГИ!$O$3:$P$22,2),HLOOKUP(Y$6,СГИ!$Q$1:$AJ$2,2))),"",INDEX(СГИ!$Q$3:$AJ$22,VLOOKUP($N7,СГИ!$O$3:$P$22,2),HLOOKUP(Y$6,СГИ!$Q$1:$AJ$2,2)))=1,CONCATENATE("при измерении ",$N7," ",Y$6," не допускается ! "),"")</f>
      </c>
      <c r="Z7" s="221">
        <f>IF(IF(ISNA(INDEX(СГИ!$Q$3:$AJ$22,VLOOKUP($N7,СГИ!$O$3:$P$22,2),HLOOKUP(Z$6,СГИ!$Q$1:$AJ$2,2))),"",INDEX(СГИ!$Q$3:$AJ$22,VLOOKUP($N7,СГИ!$O$3:$P$22,2),HLOOKUP(Z$6,СГИ!$Q$1:$AJ$2,2)))=1,CONCATENATE("при измерении ",$N7," ",Z$6," не допускается ! "),"")</f>
      </c>
      <c r="AA7" s="221">
        <f>IF(IF(ISNA(INDEX(СГИ!$Q$3:$AJ$22,VLOOKUP($N7,СГИ!$O$3:$P$22,2),HLOOKUP(AA$6,СГИ!$Q$1:$AJ$2,2))),"",INDEX(СГИ!$Q$3:$AJ$22,VLOOKUP($N7,СГИ!$O$3:$P$22,2),HLOOKUP(AA$6,СГИ!$Q$1:$AJ$2,2)))=1,CONCATENATE("при измерении ",$N7," ",AA$6," не допускается ! "),"")</f>
      </c>
      <c r="AB7" s="221">
        <f>IF(IF(ISNA(INDEX(СГИ!$Q$3:$AJ$22,VLOOKUP($N7,СГИ!$O$3:$P$22,2),HLOOKUP(AB$6,СГИ!$Q$1:$AJ$2,2))),"",INDEX(СГИ!$Q$3:$AJ$22,VLOOKUP($N7,СГИ!$O$3:$P$22,2),HLOOKUP(AB$6,СГИ!$Q$1:$AJ$2,2)))=1,CONCATENATE("при измерении ",$N7," ",AB$6," не допускается ! "),"")</f>
      </c>
      <c r="AC7" s="221">
        <f>IF(IF(ISNA(INDEX(СГИ!$Q$3:$AJ$22,VLOOKUP($N7,СГИ!$O$3:$P$22,2),HLOOKUP(AC$6,СГИ!$Q$1:$AJ$2,2))),"",INDEX(СГИ!$Q$3:$AJ$22,VLOOKUP($N7,СГИ!$O$3:$P$22,2),HLOOKUP(AC$6,СГИ!$Q$1:$AJ$2,2)))=1,CONCATENATE("при измерении ",$N7," ",AC$6," не допускается ! "),"")</f>
      </c>
      <c r="AD7" s="221">
        <f>IF(IF(ISNA(INDEX(СГИ!$Q$3:$AJ$22,VLOOKUP($N7,СГИ!$O$3:$P$22,2),HLOOKUP(AD$6,СГИ!$Q$1:$AJ$2,2))),"",INDEX(СГИ!$Q$3:$AJ$22,VLOOKUP($N7,СГИ!$O$3:$P$22,2),HLOOKUP(AD$6,СГИ!$Q$1:$AJ$2,2)))=1,CONCATENATE("при измерении ",$N7," ",AD$6," не допускается ! "),"")</f>
      </c>
      <c r="AE7" s="221">
        <f>IF(IF(ISNA(INDEX(СГИ!$Q$3:$AJ$22,VLOOKUP($N7,СГИ!$O$3:$P$22,2),HLOOKUP(AE$6,СГИ!$Q$1:$AJ$2,2))),"",INDEX(СГИ!$Q$3:$AJ$22,VLOOKUP($N7,СГИ!$O$3:$P$22,2),HLOOKUP(AE$6,СГИ!$Q$1:$AJ$2,2)))=1,CONCATENATE("при измерении ",$N7," ",AE$6," не допускается ! "),"")</f>
      </c>
      <c r="AF7" s="257">
        <f>IF(IF(ISNA(INDEX(СГИ!$Q$3:$AJ$22,VLOOKUP($N7,СГИ!$O$3:$P$22,2),HLOOKUP(AF$6,СГИ!$Q$1:$AJ$2,2))),"",INDEX(СГИ!$Q$3:$AJ$22,VLOOKUP($N7,СГИ!$O$3:$P$22,2),HLOOKUP(AF$6,СГИ!$Q$1:$AJ$2,2)))=1,CONCATENATE("при измерении ",$N7," ",AF$6," не допускается ! "),"")</f>
      </c>
      <c r="AG7">
        <f aca="true" t="shared" si="2" ref="AG7:AG25">CONCATENATE(O7,P7,Q7,R7,S7,T7,U7,V7,W7,X7,Y7,Z7,AA7,AB7,AC7,AD7,AE7,AF7)</f>
      </c>
    </row>
    <row r="8" spans="1:33" ht="24" customHeight="1" thickBot="1">
      <c r="A8" s="281"/>
      <c r="B8" s="224" t="s">
        <v>334</v>
      </c>
      <c r="C8" s="287"/>
      <c r="D8" s="255" t="str">
        <f>IF(SUM(C$7:C$21)&gt;4,"&lt;- сумма не должна быть более 4",IF(OR(C8=2,C8=3,C8=4,AND(C$11&gt;0,C8&gt;0)),"&lt;- уменьшите количество каналов",IF(OR(SUM(C$7:C$21)=4,AND(C$11=1,I$31=1)),"&lt;- дальнейший ввод невозможен",IF(C8=1,"","&lt;- введите данные, если необходимо"))))</f>
        <v>&lt;- введите данные, если необходимо</v>
      </c>
      <c r="E8"/>
      <c r="F8" s="555"/>
      <c r="G8" s="951" t="s">
        <v>801</v>
      </c>
      <c r="H8" s="553">
        <f t="shared" si="0"/>
      </c>
      <c r="I8" s="505">
        <f t="shared" si="1"/>
        <v>0</v>
      </c>
      <c r="L8" s="513">
        <f>IF(C8&gt;0,ПГ!S8,"")</f>
      </c>
      <c r="N8" s="220">
        <f>MID(H8,2,9)</f>
      </c>
      <c r="O8" s="221">
        <f>IF(IF(ISNA(INDEX(СГИ!$Q$3:$AJ$22,VLOOKUP($N8,СГИ!$O$3:$P$22,2),HLOOKUP(O$6,СГИ!$Q$1:$AJ$2,2))),"",INDEX(СГИ!$Q$3:$AJ$22,VLOOKUP($N8,СГИ!$O$3:$P$22,2),HLOOKUP(O$6,СГИ!$Q$1:$AJ$2,2)))=1,CONCATENATE("при измерении ",$N8," ",O$6," не допускается ! "),"")</f>
      </c>
      <c r="P8" s="221">
        <f>IF(IF(ISNA(INDEX(СГИ!$Q$3:$AJ$22,VLOOKUP($N8,СГИ!$O$3:$P$22,2),HLOOKUP(P$6,СГИ!$Q$1:$AJ$2,2))),"",INDEX(СГИ!$Q$3:$AJ$22,VLOOKUP($N8,СГИ!$O$3:$P$22,2),HLOOKUP(P$6,СГИ!$Q$1:$AJ$2,2)))=1,CONCATENATE("при измерении ",$N8," ",P$6," не допускается ! "),"")</f>
      </c>
      <c r="Q8" s="221">
        <f>IF(IF(ISNA(INDEX(СГИ!$Q$3:$AJ$22,VLOOKUP($N8,СГИ!$O$3:$P$22,2),HLOOKUP(Q$6,СГИ!$Q$1:$AJ$2,2))),"",INDEX(СГИ!$Q$3:$AJ$22,VLOOKUP($N8,СГИ!$O$3:$P$22,2),HLOOKUP(Q$6,СГИ!$Q$1:$AJ$2,2)))=1,CONCATENATE("при измерении ",$N8," ",Q$6," не допускается ! "),"")</f>
      </c>
      <c r="R8" s="221">
        <f>IF(IF(ISNA(INDEX(СГИ!$Q$3:$AJ$22,VLOOKUP($N8,СГИ!$O$3:$P$22,2),HLOOKUP(R$6,СГИ!$Q$1:$AJ$2,2))),"",INDEX(СГИ!$Q$3:$AJ$22,VLOOKUP($N8,СГИ!$O$3:$P$22,2),HLOOKUP(R$6,СГИ!$Q$1:$AJ$2,2)))=1,CONCATENATE("при измерении ",$N8," ",R$6," не допускается ! "),"")</f>
      </c>
      <c r="S8" s="221">
        <f>IF(IF(ISNA(INDEX(СГИ!$Q$3:$AJ$22,VLOOKUP($N8,СГИ!$O$3:$P$22,2),HLOOKUP(S$6,СГИ!$Q$1:$AJ$2,2))),"",INDEX(СГИ!$Q$3:$AJ$22,VLOOKUP($N8,СГИ!$O$3:$P$22,2),HLOOKUP(S$6,СГИ!$Q$1:$AJ$2,2)))=1,CONCATENATE("при измерении ",$N8," ",S$6," не допускается ! "),"")</f>
      </c>
      <c r="T8" s="221">
        <f>IF(IF(ISNA(INDEX(СГИ!$Q$3:$AJ$22,VLOOKUP($N8,СГИ!$O$3:$P$22,2),HLOOKUP(T$6,СГИ!$Q$1:$AJ$2,2))),"",INDEX(СГИ!$Q$3:$AJ$22,VLOOKUP($N8,СГИ!$O$3:$P$22,2),HLOOKUP(T$6,СГИ!$Q$1:$AJ$2,2)))=1,CONCATENATE("при измерении ",$N8," ",T$6," не допускается ! "),"")</f>
      </c>
      <c r="U8" s="221">
        <f>IF(IF(ISNA(INDEX(СГИ!$Q$3:$AJ$22,VLOOKUP($N8,СГИ!$O$3:$P$22,2),HLOOKUP(U$6,СГИ!$Q$1:$AJ$2,2))),"",INDEX(СГИ!$Q$3:$AJ$22,VLOOKUP($N8,СГИ!$O$3:$P$22,2),HLOOKUP(U$6,СГИ!$Q$1:$AJ$2,2)))=1,CONCATENATE("при измерении ",$N8," ",U$6," не допускается ! "),"")</f>
      </c>
      <c r="V8" s="221">
        <f>IF(IF(ISNA(INDEX(СГИ!$Q$3:$AJ$22,VLOOKUP($N8,СГИ!$O$3:$P$22,2),HLOOKUP(V$6,СГИ!$Q$1:$AJ$2,2))),"",INDEX(СГИ!$Q$3:$AJ$22,VLOOKUP($N8,СГИ!$O$3:$P$22,2),HLOOKUP(V$6,СГИ!$Q$1:$AJ$2,2)))=1,CONCATENATE("при измерении ",$N8," ",V$6," не допускается ! "),"")</f>
      </c>
      <c r="W8" s="221">
        <f>IF(IF(ISNA(INDEX(СГИ!$Q$3:$AJ$22,VLOOKUP($N8,СГИ!$O$3:$P$22,2),HLOOKUP(W$6,СГИ!$Q$1:$AJ$2,2))),"",INDEX(СГИ!$Q$3:$AJ$22,VLOOKUP($N8,СГИ!$O$3:$P$22,2),HLOOKUP(W$6,СГИ!$Q$1:$AJ$2,2)))=1,CONCATENATE("при измерении ",$N8," ",W$6," не допускается ! "),"")</f>
      </c>
      <c r="X8" s="221">
        <f>IF(IF(ISNA(INDEX(СГИ!$Q$3:$AJ$22,VLOOKUP($N8,СГИ!$O$3:$P$22,2),HLOOKUP(X$6,СГИ!$Q$1:$AJ$2,2))),"",INDEX(СГИ!$Q$3:$AJ$22,VLOOKUP($N8,СГИ!$O$3:$P$22,2),HLOOKUP(X$6,СГИ!$Q$1:$AJ$2,2)))=1,CONCATENATE("при измерении ",$N8," ",X$6," не допускается ! "),"")</f>
      </c>
      <c r="Y8" s="221">
        <f>IF(IF(ISNA(INDEX(СГИ!$Q$3:$AJ$22,VLOOKUP($N8,СГИ!$O$3:$P$22,2),HLOOKUP(Y$6,СГИ!$Q$1:$AJ$2,2))),"",INDEX(СГИ!$Q$3:$AJ$22,VLOOKUP($N8,СГИ!$O$3:$P$22,2),HLOOKUP(Y$6,СГИ!$Q$1:$AJ$2,2)))=1,CONCATENATE("при измерении ",$N8," ",Y$6," не допускается ! "),"")</f>
      </c>
      <c r="Z8" s="221">
        <f>IF(IF(ISNA(INDEX(СГИ!$Q$3:$AJ$22,VLOOKUP($N8,СГИ!$O$3:$P$22,2),HLOOKUP(Z$6,СГИ!$Q$1:$AJ$2,2))),"",INDEX(СГИ!$Q$3:$AJ$22,VLOOKUP($N8,СГИ!$O$3:$P$22,2),HLOOKUP(Z$6,СГИ!$Q$1:$AJ$2,2)))=1,CONCATENATE("при измерении ",$N8," ",Z$6," не допускается ! "),"")</f>
      </c>
      <c r="AA8" s="221">
        <f>IF(IF(ISNA(INDEX(СГИ!$Q$3:$AJ$22,VLOOKUP($N8,СГИ!$O$3:$P$22,2),HLOOKUP(AA$6,СГИ!$Q$1:$AJ$2,2))),"",INDEX(СГИ!$Q$3:$AJ$22,VLOOKUP($N8,СГИ!$O$3:$P$22,2),HLOOKUP(AA$6,СГИ!$Q$1:$AJ$2,2)))=1,CONCATENATE("при измерении ",$N8," ",AA$6," не допускается ! "),"")</f>
      </c>
      <c r="AB8" s="221">
        <f>IF(IF(ISNA(INDEX(СГИ!$Q$3:$AJ$22,VLOOKUP($N8,СГИ!$O$3:$P$22,2),HLOOKUP(AB$6,СГИ!$Q$1:$AJ$2,2))),"",INDEX(СГИ!$Q$3:$AJ$22,VLOOKUP($N8,СГИ!$O$3:$P$22,2),HLOOKUP(AB$6,СГИ!$Q$1:$AJ$2,2)))=1,CONCATENATE("при измерении ",$N8," ",AB$6," не допускается ! "),"")</f>
      </c>
      <c r="AC8" s="221">
        <f>IF(IF(ISNA(INDEX(СГИ!$Q$3:$AJ$22,VLOOKUP($N8,СГИ!$O$3:$P$22,2),HLOOKUP(AC$6,СГИ!$Q$1:$AJ$2,2))),"",INDEX(СГИ!$Q$3:$AJ$22,VLOOKUP($N8,СГИ!$O$3:$P$22,2),HLOOKUP(AC$6,СГИ!$Q$1:$AJ$2,2)))=1,CONCATENATE("при измерении ",$N8," ",AC$6," не допускается ! "),"")</f>
      </c>
      <c r="AD8" s="221">
        <f>IF(IF(ISNA(INDEX(СГИ!$Q$3:$AJ$22,VLOOKUP($N8,СГИ!$O$3:$P$22,2),HLOOKUP(AD$6,СГИ!$Q$1:$AJ$2,2))),"",INDEX(СГИ!$Q$3:$AJ$22,VLOOKUP($N8,СГИ!$O$3:$P$22,2),HLOOKUP(AD$6,СГИ!$Q$1:$AJ$2,2)))=1,CONCATENATE("при измерении ",$N8," ",AD$6," не допускается ! "),"")</f>
      </c>
      <c r="AE8" s="221">
        <f>IF(IF(ISNA(INDEX(СГИ!$Q$3:$AJ$22,VLOOKUP($N8,СГИ!$O$3:$P$22,2),HLOOKUP(AE$6,СГИ!$Q$1:$AJ$2,2))),"",INDEX(СГИ!$Q$3:$AJ$22,VLOOKUP($N8,СГИ!$O$3:$P$22,2),HLOOKUP(AE$6,СГИ!$Q$1:$AJ$2,2)))=1,CONCATENATE("при измерении ",$N8," ",AE$6," не допускается ! "),"")</f>
      </c>
      <c r="AF8" s="257">
        <f>IF(IF(ISNA(INDEX(СГИ!$Q$3:$AJ$22,VLOOKUP($N8,СГИ!$O$3:$P$22,2),HLOOKUP(AF$6,СГИ!$Q$1:$AJ$2,2))),"",INDEX(СГИ!$Q$3:$AJ$22,VLOOKUP($N8,СГИ!$O$3:$P$22,2),HLOOKUP(AF$6,СГИ!$Q$1:$AJ$2,2)))=1,CONCATENATE("при измерении ",$N8," ",AF$6," не допускается ! "),"")</f>
      </c>
      <c r="AG8">
        <f t="shared" si="2"/>
      </c>
    </row>
    <row r="9" spans="1:33" ht="28.5" customHeight="1" thickBot="1">
      <c r="A9" s="288"/>
      <c r="B9" s="224" t="s">
        <v>337</v>
      </c>
      <c r="C9" s="287"/>
      <c r="D9" s="528"/>
      <c r="E9" s="529"/>
      <c r="F9" s="518"/>
      <c r="G9" s="556">
        <f>IF(AND(G8="взрывозащита не предусмотрена",G7=""),"ниже - цена без взрывозащиты","")</f>
      </c>
      <c r="H9" s="552">
        <f t="shared" si="0"/>
      </c>
      <c r="I9" s="503">
        <f t="shared" si="1"/>
        <v>0</v>
      </c>
      <c r="L9" s="513">
        <f>IF(C9&gt;0,ПГ!S9,"")</f>
      </c>
      <c r="N9" s="220">
        <f>MID(H9,2,9)</f>
      </c>
      <c r="O9" s="221">
        <f>IF(IF(ISNA(INDEX(СГИ!$Q$3:$AJ$22,VLOOKUP($N9,СГИ!$O$3:$P$22,2),HLOOKUP(O$6,СГИ!$Q$1:$AJ$2,2))),"",INDEX(СГИ!$Q$3:$AJ$22,VLOOKUP($N9,СГИ!$O$3:$P$22,2),HLOOKUP(O$6,СГИ!$Q$1:$AJ$2,2)))=1,CONCATENATE("при измерении ",$N9," ",O$6," не допускается ! "),"")</f>
      </c>
      <c r="P9" s="221">
        <f>IF(IF(ISNA(INDEX(СГИ!$Q$3:$AJ$22,VLOOKUP($N9,СГИ!$O$3:$P$22,2),HLOOKUP(P$6,СГИ!$Q$1:$AJ$2,2))),"",INDEX(СГИ!$Q$3:$AJ$22,VLOOKUP($N9,СГИ!$O$3:$P$22,2),HLOOKUP(P$6,СГИ!$Q$1:$AJ$2,2)))=1,CONCATENATE("при измерении ",$N9," ",P$6," не допускается ! "),"")</f>
      </c>
      <c r="Q9" s="221">
        <f>IF(IF(ISNA(INDEX(СГИ!$Q$3:$AJ$22,VLOOKUP($N9,СГИ!$O$3:$P$22,2),HLOOKUP(Q$6,СГИ!$Q$1:$AJ$2,2))),"",INDEX(СГИ!$Q$3:$AJ$22,VLOOKUP($N9,СГИ!$O$3:$P$22,2),HLOOKUP(Q$6,СГИ!$Q$1:$AJ$2,2)))=1,CONCATENATE("при измерении ",$N9," ",Q$6," не допускается ! "),"")</f>
      </c>
      <c r="R9" s="221">
        <f>IF(IF(ISNA(INDEX(СГИ!$Q$3:$AJ$22,VLOOKUP($N9,СГИ!$O$3:$P$22,2),HLOOKUP(R$6,СГИ!$Q$1:$AJ$2,2))),"",INDEX(СГИ!$Q$3:$AJ$22,VLOOKUP($N9,СГИ!$O$3:$P$22,2),HLOOKUP(R$6,СГИ!$Q$1:$AJ$2,2)))=1,CONCATENATE("при измерении ",$N9," ",R$6," не допускается ! "),"")</f>
      </c>
      <c r="S9" s="221">
        <f>IF(IF(ISNA(INDEX(СГИ!$Q$3:$AJ$22,VLOOKUP($N9,СГИ!$O$3:$P$22,2),HLOOKUP(S$6,СГИ!$Q$1:$AJ$2,2))),"",INDEX(СГИ!$Q$3:$AJ$22,VLOOKUP($N9,СГИ!$O$3:$P$22,2),HLOOKUP(S$6,СГИ!$Q$1:$AJ$2,2)))=1,CONCATENATE("при измерении ",$N9," ",S$6," не допускается ! "),"")</f>
      </c>
      <c r="T9" s="221">
        <f>IF(IF(ISNA(INDEX(СГИ!$Q$3:$AJ$22,VLOOKUP($N9,СГИ!$O$3:$P$22,2),HLOOKUP(T$6,СГИ!$Q$1:$AJ$2,2))),"",INDEX(СГИ!$Q$3:$AJ$22,VLOOKUP($N9,СГИ!$O$3:$P$22,2),HLOOKUP(T$6,СГИ!$Q$1:$AJ$2,2)))=1,CONCATENATE("при измерении ",$N9," ",T$6," не допускается ! "),"")</f>
      </c>
      <c r="U9" s="221">
        <f>IF(IF(ISNA(INDEX(СГИ!$Q$3:$AJ$22,VLOOKUP($N9,СГИ!$O$3:$P$22,2),HLOOKUP(U$6,СГИ!$Q$1:$AJ$2,2))),"",INDEX(СГИ!$Q$3:$AJ$22,VLOOKUP($N9,СГИ!$O$3:$P$22,2),HLOOKUP(U$6,СГИ!$Q$1:$AJ$2,2)))=1,CONCATENATE("при измерении ",$N9," ",U$6," не допускается ! "),"")</f>
      </c>
      <c r="V9" s="221">
        <f>IF(IF(ISNA(INDEX(СГИ!$Q$3:$AJ$22,VLOOKUP($N9,СГИ!$O$3:$P$22,2),HLOOKUP(V$6,СГИ!$Q$1:$AJ$2,2))),"",INDEX(СГИ!$Q$3:$AJ$22,VLOOKUP($N9,СГИ!$O$3:$P$22,2),HLOOKUP(V$6,СГИ!$Q$1:$AJ$2,2)))=1,CONCATENATE("при измерении ",$N9," ",V$6," не допускается ! "),"")</f>
      </c>
      <c r="W9" s="221">
        <f>IF(IF(ISNA(INDEX(СГИ!$Q$3:$AJ$22,VLOOKUP($N9,СГИ!$O$3:$P$22,2),HLOOKUP(W$6,СГИ!$Q$1:$AJ$2,2))),"",INDEX(СГИ!$Q$3:$AJ$22,VLOOKUP($N9,СГИ!$O$3:$P$22,2),HLOOKUP(W$6,СГИ!$Q$1:$AJ$2,2)))=1,CONCATENATE("при измерении ",$N9," ",W$6," не допускается ! "),"")</f>
      </c>
      <c r="X9" s="221">
        <f>IF(IF(ISNA(INDEX(СГИ!$Q$3:$AJ$22,VLOOKUP($N9,СГИ!$O$3:$P$22,2),HLOOKUP(X$6,СГИ!$Q$1:$AJ$2,2))),"",INDEX(СГИ!$Q$3:$AJ$22,VLOOKUP($N9,СГИ!$O$3:$P$22,2),HLOOKUP(X$6,СГИ!$Q$1:$AJ$2,2)))=1,CONCATENATE("при измерении ",$N9," ",X$6," не допускается ! "),"")</f>
      </c>
      <c r="Y9" s="221">
        <f>IF(IF(ISNA(INDEX(СГИ!$Q$3:$AJ$22,VLOOKUP($N9,СГИ!$O$3:$P$22,2),HLOOKUP(Y$6,СГИ!$Q$1:$AJ$2,2))),"",INDEX(СГИ!$Q$3:$AJ$22,VLOOKUP($N9,СГИ!$O$3:$P$22,2),HLOOKUP(Y$6,СГИ!$Q$1:$AJ$2,2)))=1,CONCATENATE("при измерении ",$N9," ",Y$6," не допускается ! "),"")</f>
      </c>
      <c r="Z9" s="221">
        <f>IF(IF(ISNA(INDEX(СГИ!$Q$3:$AJ$22,VLOOKUP($N9,СГИ!$O$3:$P$22,2),HLOOKUP(Z$6,СГИ!$Q$1:$AJ$2,2))),"",INDEX(СГИ!$Q$3:$AJ$22,VLOOKUP($N9,СГИ!$O$3:$P$22,2),HLOOKUP(Z$6,СГИ!$Q$1:$AJ$2,2)))=1,CONCATENATE("при измерении ",$N9," ",Z$6," не допускается ! "),"")</f>
      </c>
      <c r="AA9" s="221">
        <f>IF(IF(ISNA(INDEX(СГИ!$Q$3:$AJ$22,VLOOKUP($N9,СГИ!$O$3:$P$22,2),HLOOKUP(AA$6,СГИ!$Q$1:$AJ$2,2))),"",INDEX(СГИ!$Q$3:$AJ$22,VLOOKUP($N9,СГИ!$O$3:$P$22,2),HLOOKUP(AA$6,СГИ!$Q$1:$AJ$2,2)))=1,CONCATENATE("при измерении ",$N9," ",AA$6," не допускается ! "),"")</f>
      </c>
      <c r="AB9" s="221">
        <f>IF(IF(ISNA(INDEX(СГИ!$Q$3:$AJ$22,VLOOKUP($N9,СГИ!$O$3:$P$22,2),HLOOKUP(AB$6,СГИ!$Q$1:$AJ$2,2))),"",INDEX(СГИ!$Q$3:$AJ$22,VLOOKUP($N9,СГИ!$O$3:$P$22,2),HLOOKUP(AB$6,СГИ!$Q$1:$AJ$2,2)))=1,CONCATENATE("при измерении ",$N9," ",AB$6," не допускается ! "),"")</f>
      </c>
      <c r="AC9" s="221">
        <f>IF(IF(ISNA(INDEX(СГИ!$Q$3:$AJ$22,VLOOKUP($N9,СГИ!$O$3:$P$22,2),HLOOKUP(AC$6,СГИ!$Q$1:$AJ$2,2))),"",INDEX(СГИ!$Q$3:$AJ$22,VLOOKUP($N9,СГИ!$O$3:$P$22,2),HLOOKUP(AC$6,СГИ!$Q$1:$AJ$2,2)))=1,CONCATENATE("при измерении ",$N9," ",AC$6," не допускается ! "),"")</f>
      </c>
      <c r="AD9" s="221">
        <f>IF(IF(ISNA(INDEX(СГИ!$Q$3:$AJ$22,VLOOKUP($N9,СГИ!$O$3:$P$22,2),HLOOKUP(AD$6,СГИ!$Q$1:$AJ$2,2))),"",INDEX(СГИ!$Q$3:$AJ$22,VLOOKUP($N9,СГИ!$O$3:$P$22,2),HLOOKUP(AD$6,СГИ!$Q$1:$AJ$2,2)))=1,CONCATENATE("при измерении ",$N9," ",AD$6," не допускается ! "),"")</f>
      </c>
      <c r="AE9" s="221">
        <f>IF(IF(ISNA(INDEX(СГИ!$Q$3:$AJ$22,VLOOKUP($N9,СГИ!$O$3:$P$22,2),HLOOKUP(AE$6,СГИ!$Q$1:$AJ$2,2))),"",INDEX(СГИ!$Q$3:$AJ$22,VLOOKUP($N9,СГИ!$O$3:$P$22,2),HLOOKUP(AE$6,СГИ!$Q$1:$AJ$2,2)))=1,CONCATENATE("при измерении ",$N9," ",AE$6," не допускается ! "),"")</f>
      </c>
      <c r="AF9" s="257">
        <f>IF(IF(ISNA(INDEX(СГИ!$Q$3:$AJ$22,VLOOKUP($N9,СГИ!$O$3:$P$22,2),HLOOKUP(AF$6,СГИ!$Q$1:$AJ$2,2))),"",INDEX(СГИ!$Q$3:$AJ$22,VLOOKUP($N9,СГИ!$O$3:$P$22,2),HLOOKUP(AF$6,СГИ!$Q$1:$AJ$2,2)))=1,CONCATENATE("при измерении ",$N9," ",AF$6," не допускается ! "),"")</f>
      </c>
      <c r="AG9">
        <f t="shared" si="2"/>
      </c>
    </row>
    <row r="10" spans="1:33" ht="26.25" customHeight="1" thickBot="1">
      <c r="A10" s="288"/>
      <c r="B10" s="224" t="s">
        <v>483</v>
      </c>
      <c r="C10" s="291"/>
      <c r="D10" s="255" t="str">
        <f>IF(SUM(C$7:C$21)&gt;4,"&lt;- сумма не должна быть более 4",IF(OR(C10=2,C10=3,C10=4,AND(C$11&gt;0,C10&gt;0)),"&lt;- уменьшите количество каналов",IF(OR(SUM(C$7:C$21)=4,AND(C$11=1,I$31=1)),"&lt;- дальнейший ввод невозможен",IF(C10=1,"","&lt;- введите данные, если необходимо"))))</f>
        <v>&lt;- введите данные, если необходимо</v>
      </c>
      <c r="E10"/>
      <c r="F10" s="519"/>
      <c r="G10" s="557">
        <f>IF(AND(G9="взрывозащита не предусмотрена",G8=""),"ниже - цена без взрывозащиты","")</f>
      </c>
      <c r="H10" s="554">
        <f t="shared" si="0"/>
      </c>
      <c r="I10" s="504">
        <f t="shared" si="1"/>
        <v>0</v>
      </c>
      <c r="L10" s="513">
        <f>IF(C10&gt;0,ПГ!S10,"")</f>
      </c>
      <c r="N10" s="220">
        <f>MID(H10,2,9)</f>
      </c>
      <c r="O10" s="221">
        <f>IF(IF(ISNA(INDEX(СГИ!$Q$3:$AJ$22,VLOOKUP($N10,СГИ!$O$3:$P$22,2),HLOOKUP(O$6,СГИ!$Q$1:$AJ$2,2))),"",INDEX(СГИ!$Q$3:$AJ$22,VLOOKUP($N10,СГИ!$O$3:$P$22,2),HLOOKUP(O$6,СГИ!$Q$1:$AJ$2,2)))=1,CONCATENATE("при измерении ",$N10," ",O$6," не допускается ! "),"")</f>
      </c>
      <c r="P10" s="221">
        <f>IF(IF(ISNA(INDEX(СГИ!$Q$3:$AJ$22,VLOOKUP($N10,СГИ!$O$3:$P$22,2),HLOOKUP(P$6,СГИ!$Q$1:$AJ$2,2))),"",INDEX(СГИ!$Q$3:$AJ$22,VLOOKUP($N10,СГИ!$O$3:$P$22,2),HLOOKUP(P$6,СГИ!$Q$1:$AJ$2,2)))=1,CONCATENATE("при измерении ",$N10," ",P$6," не допускается ! "),"")</f>
      </c>
      <c r="Q10" s="221">
        <f>IF(IF(ISNA(INDEX(СГИ!$Q$3:$AJ$22,VLOOKUP($N10,СГИ!$O$3:$P$22,2),HLOOKUP(Q$6,СГИ!$Q$1:$AJ$2,2))),"",INDEX(СГИ!$Q$3:$AJ$22,VLOOKUP($N10,СГИ!$O$3:$P$22,2),HLOOKUP(Q$6,СГИ!$Q$1:$AJ$2,2)))=1,CONCATENATE("при измерении ",$N10," ",Q$6," не допускается ! "),"")</f>
      </c>
      <c r="R10" s="221">
        <f>IF(IF(ISNA(INDEX(СГИ!$Q$3:$AJ$22,VLOOKUP($N10,СГИ!$O$3:$P$22,2),HLOOKUP(R$6,СГИ!$Q$1:$AJ$2,2))),"",INDEX(СГИ!$Q$3:$AJ$22,VLOOKUP($N10,СГИ!$O$3:$P$22,2),HLOOKUP(R$6,СГИ!$Q$1:$AJ$2,2)))=1,CONCATENATE("при измерении ",$N10," ",R$6," не допускается ! "),"")</f>
      </c>
      <c r="S10" s="221">
        <f>IF(IF(ISNA(INDEX(СГИ!$Q$3:$AJ$22,VLOOKUP($N10,СГИ!$O$3:$P$22,2),HLOOKUP(S$6,СГИ!$Q$1:$AJ$2,2))),"",INDEX(СГИ!$Q$3:$AJ$22,VLOOKUP($N10,СГИ!$O$3:$P$22,2),HLOOKUP(S$6,СГИ!$Q$1:$AJ$2,2)))=1,CONCATENATE("при измерении ",$N10," ",S$6," не допускается ! "),"")</f>
      </c>
      <c r="T10" s="221">
        <f>IF(IF(ISNA(INDEX(СГИ!$Q$3:$AJ$22,VLOOKUP($N10,СГИ!$O$3:$P$22,2),HLOOKUP(T$6,СГИ!$Q$1:$AJ$2,2))),"",INDEX(СГИ!$Q$3:$AJ$22,VLOOKUP($N10,СГИ!$O$3:$P$22,2),HLOOKUP(T$6,СГИ!$Q$1:$AJ$2,2)))=1,CONCATENATE("при измерении ",$N10," ",T$6," не допускается ! "),"")</f>
      </c>
      <c r="U10" s="221">
        <f>IF(IF(ISNA(INDEX(СГИ!$Q$3:$AJ$22,VLOOKUP($N10,СГИ!$O$3:$P$22,2),HLOOKUP(U$6,СГИ!$Q$1:$AJ$2,2))),"",INDEX(СГИ!$Q$3:$AJ$22,VLOOKUP($N10,СГИ!$O$3:$P$22,2),HLOOKUP(U$6,СГИ!$Q$1:$AJ$2,2)))=1,CONCATENATE("при измерении ",$N10," ",U$6," не допускается ! "),"")</f>
      </c>
      <c r="V10" s="221">
        <f>IF(IF(ISNA(INDEX(СГИ!$Q$3:$AJ$22,VLOOKUP($N10,СГИ!$O$3:$P$22,2),HLOOKUP(V$6,СГИ!$Q$1:$AJ$2,2))),"",INDEX(СГИ!$Q$3:$AJ$22,VLOOKUP($N10,СГИ!$O$3:$P$22,2),HLOOKUP(V$6,СГИ!$Q$1:$AJ$2,2)))=1,CONCATENATE("при измерении ",$N10," ",V$6," не допускается ! "),"")</f>
      </c>
      <c r="W10" s="221">
        <f>IF(IF(ISNA(INDEX(СГИ!$Q$3:$AJ$22,VLOOKUP($N10,СГИ!$O$3:$P$22,2),HLOOKUP(W$6,СГИ!$Q$1:$AJ$2,2))),"",INDEX(СГИ!$Q$3:$AJ$22,VLOOKUP($N10,СГИ!$O$3:$P$22,2),HLOOKUP(W$6,СГИ!$Q$1:$AJ$2,2)))=1,CONCATENATE("при измерении ",$N10," ",W$6," не допускается ! "),"")</f>
      </c>
      <c r="X10" s="221">
        <f>IF(IF(ISNA(INDEX(СГИ!$Q$3:$AJ$22,VLOOKUP($N10,СГИ!$O$3:$P$22,2),HLOOKUP(X$6,СГИ!$Q$1:$AJ$2,2))),"",INDEX(СГИ!$Q$3:$AJ$22,VLOOKUP($N10,СГИ!$O$3:$P$22,2),HLOOKUP(X$6,СГИ!$Q$1:$AJ$2,2)))=1,CONCATENATE("при измерении ",$N10," ",X$6," не допускается ! "),"")</f>
      </c>
      <c r="Y10" s="221">
        <f>IF(IF(ISNA(INDEX(СГИ!$Q$3:$AJ$22,VLOOKUP($N10,СГИ!$O$3:$P$22,2),HLOOKUP(Y$6,СГИ!$Q$1:$AJ$2,2))),"",INDEX(СГИ!$Q$3:$AJ$22,VLOOKUP($N10,СГИ!$O$3:$P$22,2),HLOOKUP(Y$6,СГИ!$Q$1:$AJ$2,2)))=1,CONCATENATE("при измерении ",$N10," ",Y$6," не допускается ! "),"")</f>
      </c>
      <c r="Z10" s="221">
        <f>IF(IF(ISNA(INDEX(СГИ!$Q$3:$AJ$22,VLOOKUP($N10,СГИ!$O$3:$P$22,2),HLOOKUP(Z$6,СГИ!$Q$1:$AJ$2,2))),"",INDEX(СГИ!$Q$3:$AJ$22,VLOOKUP($N10,СГИ!$O$3:$P$22,2),HLOOKUP(Z$6,СГИ!$Q$1:$AJ$2,2)))=1,CONCATENATE("при измерении ",$N10," ",Z$6," не допускается ! "),"")</f>
      </c>
      <c r="AA10" s="221">
        <f>IF(IF(ISNA(INDEX(СГИ!$Q$3:$AJ$22,VLOOKUP($N10,СГИ!$O$3:$P$22,2),HLOOKUP(AA$6,СГИ!$Q$1:$AJ$2,2))),"",INDEX(СГИ!$Q$3:$AJ$22,VLOOKUP($N10,СГИ!$O$3:$P$22,2),HLOOKUP(AA$6,СГИ!$Q$1:$AJ$2,2)))=1,CONCATENATE("при измерении ",$N10," ",AA$6," не допускается ! "),"")</f>
      </c>
      <c r="AB10" s="221">
        <f>IF(IF(ISNA(INDEX(СГИ!$Q$3:$AJ$22,VLOOKUP($N10,СГИ!$O$3:$P$22,2),HLOOKUP(AB$6,СГИ!$Q$1:$AJ$2,2))),"",INDEX(СГИ!$Q$3:$AJ$22,VLOOKUP($N10,СГИ!$O$3:$P$22,2),HLOOKUP(AB$6,СГИ!$Q$1:$AJ$2,2)))=1,CONCATENATE("при измерении ",$N10," ",AB$6," не допускается ! "),"")</f>
      </c>
      <c r="AC10" s="221">
        <f>IF(IF(ISNA(INDEX(СГИ!$Q$3:$AJ$22,VLOOKUP($N10,СГИ!$O$3:$P$22,2),HLOOKUP(AC$6,СГИ!$Q$1:$AJ$2,2))),"",INDEX(СГИ!$Q$3:$AJ$22,VLOOKUP($N10,СГИ!$O$3:$P$22,2),HLOOKUP(AC$6,СГИ!$Q$1:$AJ$2,2)))=1,CONCATENATE("при измерении ",$N10," ",AC$6," не допускается ! "),"")</f>
      </c>
      <c r="AD10" s="221">
        <f>IF(IF(ISNA(INDEX(СГИ!$Q$3:$AJ$22,VLOOKUP($N10,СГИ!$O$3:$P$22,2),HLOOKUP(AD$6,СГИ!$Q$1:$AJ$2,2))),"",INDEX(СГИ!$Q$3:$AJ$22,VLOOKUP($N10,СГИ!$O$3:$P$22,2),HLOOKUP(AD$6,СГИ!$Q$1:$AJ$2,2)))=1,CONCATENATE("при измерении ",$N10," ",AD$6," не допускается ! "),"")</f>
      </c>
      <c r="AE10" s="221">
        <f>IF(IF(ISNA(INDEX(СГИ!$Q$3:$AJ$22,VLOOKUP($N10,СГИ!$O$3:$P$22,2),HLOOKUP(AE$6,СГИ!$Q$1:$AJ$2,2))),"",INDEX(СГИ!$Q$3:$AJ$22,VLOOKUP($N10,СГИ!$O$3:$P$22,2),HLOOKUP(AE$6,СГИ!$Q$1:$AJ$2,2)))=1,CONCATENATE("при измерении ",$N10," ",AE$6," не допускается ! "),"")</f>
      </c>
      <c r="AF10" s="257">
        <f>IF(IF(ISNA(INDEX(СГИ!$Q$3:$AJ$22,VLOOKUP($N10,СГИ!$O$3:$P$22,2),HLOOKUP(AF$6,СГИ!$Q$1:$AJ$2,2))),"",INDEX(СГИ!$Q$3:$AJ$22,VLOOKUP($N10,СГИ!$O$3:$P$22,2),HLOOKUP(AF$6,СГИ!$Q$1:$AJ$2,2)))=1,CONCATENATE("при измерении ",$N10," ",AF$6," не допускается ! "),"")</f>
      </c>
      <c r="AG10">
        <f t="shared" si="2"/>
      </c>
    </row>
    <row r="11" spans="1:33" ht="27" customHeight="1" thickBot="1">
      <c r="A11" s="288"/>
      <c r="B11" s="224" t="s">
        <v>338</v>
      </c>
      <c r="C11" s="287"/>
      <c r="D11" s="255" t="str">
        <f>IF(SUM(C$7:C$21)&gt;4,"&lt;- сумма не должна быть более 4",IF(OR(C11=2,C11=3,C11=4),"&lt;- уменьшите количество каналов",IF(OR(SUM(C$7:C$21)=4,AND(C$11=1,I$31=1)),"&lt;- дальнейший ввод невозможен",IF(C11=1,"","&lt;- введите данные, если необходимо"))))</f>
        <v>&lt;- введите данные, если необходимо</v>
      </c>
      <c r="F11" s="520"/>
      <c r="G11" s="558"/>
      <c r="H11" s="554">
        <f t="shared" si="0"/>
      </c>
      <c r="I11" s="504">
        <f t="shared" si="1"/>
        <v>0</v>
      </c>
      <c r="L11" s="513">
        <f>IF(C11&gt;0,ПГ!S11,"")</f>
      </c>
      <c r="N11" s="509"/>
      <c r="O11" s="221">
        <f>IF(IF(ISNA(INDEX(СГИ!$Q$3:$AJ$22,VLOOKUP($N11,СГИ!$O$3:$P$22,2),HLOOKUP(O$6,СГИ!$Q$1:$AJ$2,2))),"",INDEX(СГИ!$Q$3:$AJ$22,VLOOKUP($N11,СГИ!$O$3:$P$22,2),HLOOKUP(O$6,СГИ!$Q$1:$AJ$2,2)))=1,CONCATENATE("при измерении ",$N11," ",O$6," не допускается ! "),"")</f>
      </c>
      <c r="P11" s="221">
        <f>IF(IF(ISNA(INDEX(СГИ!$Q$3:$AJ$22,VLOOKUP($N11,СГИ!$O$3:$P$22,2),HLOOKUP(P$6,СГИ!$Q$1:$AJ$2,2))),"",INDEX(СГИ!$Q$3:$AJ$22,VLOOKUP($N11,СГИ!$O$3:$P$22,2),HLOOKUP(P$6,СГИ!$Q$1:$AJ$2,2)))=1,CONCATENATE("при измерении ",$N11," ",P$6," не допускается ! "),"")</f>
      </c>
      <c r="Q11" s="221">
        <f>IF(IF(ISNA(INDEX(СГИ!$Q$3:$AJ$22,VLOOKUP($N11,СГИ!$O$3:$P$22,2),HLOOKUP(Q$6,СГИ!$Q$1:$AJ$2,2))),"",INDEX(СГИ!$Q$3:$AJ$22,VLOOKUP($N11,СГИ!$O$3:$P$22,2),HLOOKUP(Q$6,СГИ!$Q$1:$AJ$2,2)))=1,CONCATENATE("при измерении ",$N11," ",Q$6," не допускается ! "),"")</f>
      </c>
      <c r="R11" s="221">
        <f>IF(IF(ISNA(INDEX(СГИ!$Q$3:$AJ$22,VLOOKUP($N11,СГИ!$O$3:$P$22,2),HLOOKUP(R$6,СГИ!$Q$1:$AJ$2,2))),"",INDEX(СГИ!$Q$3:$AJ$22,VLOOKUP($N11,СГИ!$O$3:$P$22,2),HLOOKUP(R$6,СГИ!$Q$1:$AJ$2,2)))=1,CONCATENATE("при измерении ",$N11," ",R$6," не допускается ! "),"")</f>
      </c>
      <c r="S11" s="221">
        <f>IF(IF(ISNA(INDEX(СГИ!$Q$3:$AJ$22,VLOOKUP($N11,СГИ!$O$3:$P$22,2),HLOOKUP(S$6,СГИ!$Q$1:$AJ$2,2))),"",INDEX(СГИ!$Q$3:$AJ$22,VLOOKUP($N11,СГИ!$O$3:$P$22,2),HLOOKUP(S$6,СГИ!$Q$1:$AJ$2,2)))=1,CONCATENATE("при измерении ",$N11," ",S$6," не допускается ! "),"")</f>
      </c>
      <c r="T11" s="221">
        <f>IF(IF(ISNA(INDEX(СГИ!$Q$3:$AJ$22,VLOOKUP($N11,СГИ!$O$3:$P$22,2),HLOOKUP(T$6,СГИ!$Q$1:$AJ$2,2))),"",INDEX(СГИ!$Q$3:$AJ$22,VLOOKUP($N11,СГИ!$O$3:$P$22,2),HLOOKUP(T$6,СГИ!$Q$1:$AJ$2,2)))=1,CONCATENATE("при измерении ",$N11," ",T$6," не допускается ! "),"")</f>
      </c>
      <c r="U11" s="221">
        <f>IF(IF(ISNA(INDEX(СГИ!$Q$3:$AJ$22,VLOOKUP($N11,СГИ!$O$3:$P$22,2),HLOOKUP(U$6,СГИ!$Q$1:$AJ$2,2))),"",INDEX(СГИ!$Q$3:$AJ$22,VLOOKUP($N11,СГИ!$O$3:$P$22,2),HLOOKUP(U$6,СГИ!$Q$1:$AJ$2,2)))=1,CONCATENATE("при измерении ",$N11," ",U$6," не допускается ! "),"")</f>
      </c>
      <c r="V11" s="221">
        <f>IF(IF(ISNA(INDEX(СГИ!$Q$3:$AJ$22,VLOOKUP($N11,СГИ!$O$3:$P$22,2),HLOOKUP(V$6,СГИ!$Q$1:$AJ$2,2))),"",INDEX(СГИ!$Q$3:$AJ$22,VLOOKUP($N11,СГИ!$O$3:$P$22,2),HLOOKUP(V$6,СГИ!$Q$1:$AJ$2,2)))=1,CONCATENATE("при измерении ",$N11," ",V$6," не допускается ! "),"")</f>
      </c>
      <c r="W11" s="221">
        <f>IF(IF(ISNA(INDEX(СГИ!$Q$3:$AJ$22,VLOOKUP($N11,СГИ!$O$3:$P$22,2),HLOOKUP(W$6,СГИ!$Q$1:$AJ$2,2))),"",INDEX(СГИ!$Q$3:$AJ$22,VLOOKUP($N11,СГИ!$O$3:$P$22,2),HLOOKUP(W$6,СГИ!$Q$1:$AJ$2,2)))=1,CONCATENATE("при измерении ",$N11," ",W$6," не допускается ! "),"")</f>
      </c>
      <c r="X11" s="221">
        <f>IF(IF(ISNA(INDEX(СГИ!$Q$3:$AJ$22,VLOOKUP($N11,СГИ!$O$3:$P$22,2),HLOOKUP(X$6,СГИ!$Q$1:$AJ$2,2))),"",INDEX(СГИ!$Q$3:$AJ$22,VLOOKUP($N11,СГИ!$O$3:$P$22,2),HLOOKUP(X$6,СГИ!$Q$1:$AJ$2,2)))=1,CONCATENATE("при измерении ",$N11," ",X$6," не допускается ! "),"")</f>
      </c>
      <c r="Y11" s="221">
        <f>IF(IF(ISNA(INDEX(СГИ!$Q$3:$AJ$22,VLOOKUP($N11,СГИ!$O$3:$P$22,2),HLOOKUP(Y$6,СГИ!$Q$1:$AJ$2,2))),"",INDEX(СГИ!$Q$3:$AJ$22,VLOOKUP($N11,СГИ!$O$3:$P$22,2),HLOOKUP(Y$6,СГИ!$Q$1:$AJ$2,2)))=1,CONCATENATE("при измерении ",$N11," ",Y$6," не допускается ! "),"")</f>
      </c>
      <c r="Z11" s="221">
        <f>IF(IF(ISNA(INDEX(СГИ!$Q$3:$AJ$22,VLOOKUP($N11,СГИ!$O$3:$P$22,2),HLOOKUP(Z$6,СГИ!$Q$1:$AJ$2,2))),"",INDEX(СГИ!$Q$3:$AJ$22,VLOOKUP($N11,СГИ!$O$3:$P$22,2),HLOOKUP(Z$6,СГИ!$Q$1:$AJ$2,2)))=1,CONCATENATE("при измерении ",$N11," ",Z$6," не допускается ! "),"")</f>
      </c>
      <c r="AA11" s="221">
        <f>IF(IF(ISNA(INDEX(СГИ!$Q$3:$AJ$22,VLOOKUP($N11,СГИ!$O$3:$P$22,2),HLOOKUP(AA$6,СГИ!$Q$1:$AJ$2,2))),"",INDEX(СГИ!$Q$3:$AJ$22,VLOOKUP($N11,СГИ!$O$3:$P$22,2),HLOOKUP(AA$6,СГИ!$Q$1:$AJ$2,2)))=1,CONCATENATE("при измерении ",$N11," ",AA$6," не допускается ! "),"")</f>
      </c>
      <c r="AB11" s="221">
        <f>IF(IF(ISNA(INDEX(СГИ!$Q$3:$AJ$22,VLOOKUP($N11,СГИ!$O$3:$P$22,2),HLOOKUP(AB$6,СГИ!$Q$1:$AJ$2,2))),"",INDEX(СГИ!$Q$3:$AJ$22,VLOOKUP($N11,СГИ!$O$3:$P$22,2),HLOOKUP(AB$6,СГИ!$Q$1:$AJ$2,2)))=1,CONCATENATE("при измерении ",$N11," ",AB$6," не допускается ! "),"")</f>
      </c>
      <c r="AC11" s="221">
        <f>IF(IF(ISNA(INDEX(СГИ!$Q$3:$AJ$22,VLOOKUP($N11,СГИ!$O$3:$P$22,2),HLOOKUP(AC$6,СГИ!$Q$1:$AJ$2,2))),"",INDEX(СГИ!$Q$3:$AJ$22,VLOOKUP($N11,СГИ!$O$3:$P$22,2),HLOOKUP(AC$6,СГИ!$Q$1:$AJ$2,2)))=1,CONCATENATE("при измерении ",$N11," ",AC$6," не допускается ! "),"")</f>
      </c>
      <c r="AD11" s="221">
        <f>IF(IF(ISNA(INDEX(СГИ!$Q$3:$AJ$22,VLOOKUP($N11,СГИ!$O$3:$P$22,2),HLOOKUP(AD$6,СГИ!$Q$1:$AJ$2,2))),"",INDEX(СГИ!$Q$3:$AJ$22,VLOOKUP($N11,СГИ!$O$3:$P$22,2),HLOOKUP(AD$6,СГИ!$Q$1:$AJ$2,2)))=1,CONCATENATE("при измерении ",$N11," ",AD$6," не допускается ! "),"")</f>
      </c>
      <c r="AE11" s="221">
        <f>IF(IF(ISNA(INDEX(СГИ!$Q$3:$AJ$22,VLOOKUP($N11,СГИ!$O$3:$P$22,2),HLOOKUP(AE$6,СГИ!$Q$1:$AJ$2,2))),"",INDEX(СГИ!$Q$3:$AJ$22,VLOOKUP($N11,СГИ!$O$3:$P$22,2),HLOOKUP(AE$6,СГИ!$Q$1:$AJ$2,2)))=1,CONCATENATE("при измерении ",$N11," ",AE$6," не допускается ! "),"")</f>
      </c>
      <c r="AF11" s="257">
        <f>IF(IF(ISNA(INDEX(СГИ!$Q$3:$AJ$22,VLOOKUP($N11,СГИ!$O$3:$P$22,2),HLOOKUP(AF$6,СГИ!$Q$1:$AJ$2,2))),"",INDEX(СГИ!$Q$3:$AJ$22,VLOOKUP($N11,СГИ!$O$3:$P$22,2),HLOOKUP(AF$6,СГИ!$Q$1:$AJ$2,2)))=1,CONCATENATE("при измерении ",$N11," ",AF$6," не допускается ! "),"")</f>
      </c>
      <c r="AG11">
        <f t="shared" si="2"/>
      </c>
    </row>
    <row r="12" spans="1:33" ht="28.5" customHeight="1" thickBot="1">
      <c r="A12" s="288"/>
      <c r="B12" s="224" t="s">
        <v>339</v>
      </c>
      <c r="C12" s="521"/>
      <c r="D12" s="255" t="str">
        <f aca="true" t="shared" si="3" ref="D12:D21">IF(SUM(C$7:C$21)&gt;4,"&lt;- сумма не должна быть более 4",IF(OR(C12=2,C12=3,C12=4,AND(C$11&gt;0,C12&gt;0)),"&lt;- уменьшите количество каналов",IF(OR(SUM(C$7:C$21)=4,AND(C$11=1,I$31=1)),"&lt;- дальнейший ввод невозможен",IF(C12=1,"","&lt;- введите данные, если необходимо"))))</f>
        <v>&lt;- введите данные, если необходимо</v>
      </c>
      <c r="E12"/>
      <c r="F12" s="559"/>
      <c r="G12" s="560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554">
        <f t="shared" si="0"/>
      </c>
      <c r="I12" s="504">
        <f t="shared" si="1"/>
        <v>0</v>
      </c>
      <c r="J12" s="250"/>
      <c r="L12" s="513">
        <f>IF(C12&gt;0,ПГ!S12,"")</f>
      </c>
      <c r="N12" s="220">
        <f aca="true" t="shared" si="4" ref="N12:N25">MID(H12,2,9)</f>
      </c>
      <c r="O12" s="221">
        <f>IF(IF(ISNA(INDEX(СГИ!$Q$3:$AJ$22,VLOOKUP($N12,СГИ!$O$3:$P$22,2),HLOOKUP(O$6,СГИ!$Q$1:$AJ$2,2))),"",INDEX(СГИ!$Q$3:$AJ$22,VLOOKUP($N12,СГИ!$O$3:$P$22,2),HLOOKUP(O$6,СГИ!$Q$1:$AJ$2,2)))=1,CONCATENATE("при измерении ",$N12," ",O$6," не допускается ! "),"")</f>
      </c>
      <c r="P12" s="221">
        <f>IF(IF(ISNA(INDEX(СГИ!$Q$3:$AJ$22,VLOOKUP($N12,СГИ!$O$3:$P$22,2),HLOOKUP(P$6,СГИ!$Q$1:$AJ$2,2))),"",INDEX(СГИ!$Q$3:$AJ$22,VLOOKUP($N12,СГИ!$O$3:$P$22,2),HLOOKUP(P$6,СГИ!$Q$1:$AJ$2,2)))=1,CONCATENATE("при измерении ",$N12," ",P$6," не допускается ! "),"")</f>
      </c>
      <c r="Q12" s="221">
        <f>IF(IF(ISNA(INDEX(СГИ!$Q$3:$AJ$22,VLOOKUP($N12,СГИ!$O$3:$P$22,2),HLOOKUP(Q$6,СГИ!$Q$1:$AJ$2,2))),"",INDEX(СГИ!$Q$3:$AJ$22,VLOOKUP($N12,СГИ!$O$3:$P$22,2),HLOOKUP(Q$6,СГИ!$Q$1:$AJ$2,2)))=1,CONCATENATE("при измерении ",$N12," ",Q$6," не допускается ! "),"")</f>
      </c>
      <c r="R12" s="221">
        <f>IF(IF(ISNA(INDEX(СГИ!$Q$3:$AJ$22,VLOOKUP($N12,СГИ!$O$3:$P$22,2),HLOOKUP(R$6,СГИ!$Q$1:$AJ$2,2))),"",INDEX(СГИ!$Q$3:$AJ$22,VLOOKUP($N12,СГИ!$O$3:$P$22,2),HLOOKUP(R$6,СГИ!$Q$1:$AJ$2,2)))=1,CONCATENATE("при измерении ",$N12," ",R$6," не допускается ! "),"")</f>
      </c>
      <c r="S12" s="221">
        <f>IF(IF(ISNA(INDEX(СГИ!$Q$3:$AJ$22,VLOOKUP($N12,СГИ!$O$3:$P$22,2),HLOOKUP(S$6,СГИ!$Q$1:$AJ$2,2))),"",INDEX(СГИ!$Q$3:$AJ$22,VLOOKUP($N12,СГИ!$O$3:$P$22,2),HLOOKUP(S$6,СГИ!$Q$1:$AJ$2,2)))=1,CONCATENATE("при измерении ",$N12," ",S$6," не допускается ! "),"")</f>
      </c>
      <c r="T12" s="221">
        <f>IF(IF(ISNA(INDEX(СГИ!$Q$3:$AJ$22,VLOOKUP($N12,СГИ!$O$3:$P$22,2),HLOOKUP(T$6,СГИ!$Q$1:$AJ$2,2))),"",INDEX(СГИ!$Q$3:$AJ$22,VLOOKUP($N12,СГИ!$O$3:$P$22,2),HLOOKUP(T$6,СГИ!$Q$1:$AJ$2,2)))=1,CONCATENATE("при измерении ",$N12," ",T$6," не допускается ! "),"")</f>
      </c>
      <c r="U12" s="221">
        <f>IF(IF(ISNA(INDEX(СГИ!$Q$3:$AJ$22,VLOOKUP($N12,СГИ!$O$3:$P$22,2),HLOOKUP(U$6,СГИ!$Q$1:$AJ$2,2))),"",INDEX(СГИ!$Q$3:$AJ$22,VLOOKUP($N12,СГИ!$O$3:$P$22,2),HLOOKUP(U$6,СГИ!$Q$1:$AJ$2,2)))=1,CONCATENATE("при измерении ",$N12," ",U$6," не допускается ! "),"")</f>
      </c>
      <c r="V12" s="221">
        <f>IF(IF(ISNA(INDEX(СГИ!$Q$3:$AJ$22,VLOOKUP($N12,СГИ!$O$3:$P$22,2),HLOOKUP(V$6,СГИ!$Q$1:$AJ$2,2))),"",INDEX(СГИ!$Q$3:$AJ$22,VLOOKUP($N12,СГИ!$O$3:$P$22,2),HLOOKUP(V$6,СГИ!$Q$1:$AJ$2,2)))=1,CONCATENATE("при измерении ",$N12," ",V$6," не допускается ! "),"")</f>
      </c>
      <c r="W12" s="221">
        <f>IF(IF(ISNA(INDEX(СГИ!$Q$3:$AJ$22,VLOOKUP($N12,СГИ!$O$3:$P$22,2),HLOOKUP(W$6,СГИ!$Q$1:$AJ$2,2))),"",INDEX(СГИ!$Q$3:$AJ$22,VLOOKUP($N12,СГИ!$O$3:$P$22,2),HLOOKUP(W$6,СГИ!$Q$1:$AJ$2,2)))=1,CONCATENATE("при измерении ",$N12," ",W$6," не допускается ! "),"")</f>
      </c>
      <c r="X12" s="221">
        <f>IF(IF(ISNA(INDEX(СГИ!$Q$3:$AJ$22,VLOOKUP($N12,СГИ!$O$3:$P$22,2),HLOOKUP(X$6,СГИ!$Q$1:$AJ$2,2))),"",INDEX(СГИ!$Q$3:$AJ$22,VLOOKUP($N12,СГИ!$O$3:$P$22,2),HLOOKUP(X$6,СГИ!$Q$1:$AJ$2,2)))=1,CONCATENATE("при измерении ",$N12," ",X$6," не допускается ! "),"")</f>
      </c>
      <c r="Y12" s="221">
        <f>IF(IF(ISNA(INDEX(СГИ!$Q$3:$AJ$22,VLOOKUP($N12,СГИ!$O$3:$P$22,2),HLOOKUP(Y$6,СГИ!$Q$1:$AJ$2,2))),"",INDEX(СГИ!$Q$3:$AJ$22,VLOOKUP($N12,СГИ!$O$3:$P$22,2),HLOOKUP(Y$6,СГИ!$Q$1:$AJ$2,2)))=1,CONCATENATE("при измерении ",$N12," ",Y$6," не допускается ! "),"")</f>
      </c>
      <c r="Z12" s="221">
        <f>IF(IF(ISNA(INDEX(СГИ!$Q$3:$AJ$22,VLOOKUP($N12,СГИ!$O$3:$P$22,2),HLOOKUP(Z$6,СГИ!$Q$1:$AJ$2,2))),"",INDEX(СГИ!$Q$3:$AJ$22,VLOOKUP($N12,СГИ!$O$3:$P$22,2),HLOOKUP(Z$6,СГИ!$Q$1:$AJ$2,2)))=1,CONCATENATE("при измерении ",$N12," ",Z$6," не допускается ! "),"")</f>
      </c>
      <c r="AA12" s="221">
        <f>IF(IF(ISNA(INDEX(СГИ!$Q$3:$AJ$22,VLOOKUP($N12,СГИ!$O$3:$P$22,2),HLOOKUP(AA$6,СГИ!$Q$1:$AJ$2,2))),"",INDEX(СГИ!$Q$3:$AJ$22,VLOOKUP($N12,СГИ!$O$3:$P$22,2),HLOOKUP(AA$6,СГИ!$Q$1:$AJ$2,2)))=1,CONCATENATE("при измерении ",$N12," ",AA$6," не допускается ! "),"")</f>
      </c>
      <c r="AB12" s="221">
        <f>IF(IF(ISNA(INDEX(СГИ!$Q$3:$AJ$22,VLOOKUP($N12,СГИ!$O$3:$P$22,2),HLOOKUP(AB$6,СГИ!$Q$1:$AJ$2,2))),"",INDEX(СГИ!$Q$3:$AJ$22,VLOOKUP($N12,СГИ!$O$3:$P$22,2),HLOOKUP(AB$6,СГИ!$Q$1:$AJ$2,2)))=1,CONCATENATE("при измерении ",$N12," ",AB$6," не допускается ! "),"")</f>
      </c>
      <c r="AC12" s="221">
        <f>IF(IF(ISNA(INDEX(СГИ!$Q$3:$AJ$22,VLOOKUP($N12,СГИ!$O$3:$P$22,2),HLOOKUP(AC$6,СГИ!$Q$1:$AJ$2,2))),"",INDEX(СГИ!$Q$3:$AJ$22,VLOOKUP($N12,СГИ!$O$3:$P$22,2),HLOOKUP(AC$6,СГИ!$Q$1:$AJ$2,2)))=1,CONCATENATE("при измерении ",$N12," ",AC$6," не допускается ! "),"")</f>
      </c>
      <c r="AD12" s="221">
        <f>IF(IF(ISNA(INDEX(СГИ!$Q$3:$AJ$22,VLOOKUP($N12,СГИ!$O$3:$P$22,2),HLOOKUP(AD$6,СГИ!$Q$1:$AJ$2,2))),"",INDEX(СГИ!$Q$3:$AJ$22,VLOOKUP($N12,СГИ!$O$3:$P$22,2),HLOOKUP(AD$6,СГИ!$Q$1:$AJ$2,2)))=1,CONCATENATE("при измерении ",$N12," ",AD$6," не допускается ! "),"")</f>
      </c>
      <c r="AE12" s="221">
        <f>IF(IF(ISNA(INDEX(СГИ!$Q$3:$AJ$22,VLOOKUP($N12,СГИ!$O$3:$P$22,2),HLOOKUP(AE$6,СГИ!$Q$1:$AJ$2,2))),"",INDEX(СГИ!$Q$3:$AJ$22,VLOOKUP($N12,СГИ!$O$3:$P$22,2),HLOOKUP(AE$6,СГИ!$Q$1:$AJ$2,2)))=1,CONCATENATE("при измерении ",$N12," ",AE$6," не допускается ! "),"")</f>
      </c>
      <c r="AF12" s="257">
        <f>IF(IF(ISNA(INDEX(СГИ!$Q$3:$AJ$22,VLOOKUP($N12,СГИ!$O$3:$P$22,2),HLOOKUP(AF$6,СГИ!$Q$1:$AJ$2,2))),"",INDEX(СГИ!$Q$3:$AJ$22,VLOOKUP($N12,СГИ!$O$3:$P$22,2),HLOOKUP(AF$6,СГИ!$Q$1:$AJ$2,2)))=1,CONCATENATE("при измерении ",$N12," ",AF$6," не допускается ! "),"")</f>
      </c>
      <c r="AG12">
        <f t="shared" si="2"/>
      </c>
    </row>
    <row r="13" spans="1:33" ht="23.25" customHeight="1" thickBot="1">
      <c r="A13" s="988"/>
      <c r="B13" s="989" t="s">
        <v>36</v>
      </c>
      <c r="C13" s="990"/>
      <c r="D13" s="991" t="str">
        <f t="shared" si="3"/>
        <v>&lt;- введите данные, если необходимо</v>
      </c>
      <c r="E13"/>
      <c r="F13" s="541" t="s">
        <v>364</v>
      </c>
      <c r="G13" s="540" t="str">
        <f>N5</f>
        <v>проверьте ввод данных</v>
      </c>
      <c r="H13" s="554">
        <f t="shared" si="0"/>
      </c>
      <c r="I13" s="504">
        <f t="shared" si="1"/>
        <v>0</v>
      </c>
      <c r="J13" s="250"/>
      <c r="L13" s="513">
        <f>IF(C13&gt;0,ПГ!S13,"")</f>
      </c>
      <c r="N13" s="220">
        <f t="shared" si="4"/>
      </c>
      <c r="O13" s="221">
        <f>IF(IF(ISNA(INDEX(СГИ!$Q$3:$AJ$22,VLOOKUP($N13,СГИ!$O$3:$P$22,2),HLOOKUP(O$6,СГИ!$Q$1:$AJ$2,2))),"",INDEX(СГИ!$Q$3:$AJ$22,VLOOKUP($N13,СГИ!$O$3:$P$22,2),HLOOKUP(O$6,СГИ!$Q$1:$AJ$2,2)))=1,CONCATENATE("при измерении ",$N13," ",O$6," не допускается ! "),"")</f>
      </c>
      <c r="P13" s="221">
        <f>IF(IF(ISNA(INDEX(СГИ!$Q$3:$AJ$22,VLOOKUP($N13,СГИ!$O$3:$P$22,2),HLOOKUP(P$6,СГИ!$Q$1:$AJ$2,2))),"",INDEX(СГИ!$Q$3:$AJ$22,VLOOKUP($N13,СГИ!$O$3:$P$22,2),HLOOKUP(P$6,СГИ!$Q$1:$AJ$2,2)))=1,CONCATENATE("при измерении ",$N13," ",P$6," не допускается ! "),"")</f>
      </c>
      <c r="Q13" s="221">
        <f>IF(IF(ISNA(INDEX(СГИ!$Q$3:$AJ$22,VLOOKUP($N13,СГИ!$O$3:$P$22,2),HLOOKUP(Q$6,СГИ!$Q$1:$AJ$2,2))),"",INDEX(СГИ!$Q$3:$AJ$22,VLOOKUP($N13,СГИ!$O$3:$P$22,2),HLOOKUP(Q$6,СГИ!$Q$1:$AJ$2,2)))=1,CONCATENATE("при измерении ",$N13," ",Q$6," не допускается ! "),"")</f>
      </c>
      <c r="R13" s="221">
        <f>IF(IF(ISNA(INDEX(СГИ!$Q$3:$AJ$22,VLOOKUP($N13,СГИ!$O$3:$P$22,2),HLOOKUP(R$6,СГИ!$Q$1:$AJ$2,2))),"",INDEX(СГИ!$Q$3:$AJ$22,VLOOKUP($N13,СГИ!$O$3:$P$22,2),HLOOKUP(R$6,СГИ!$Q$1:$AJ$2,2)))=1,CONCATENATE("при измерении ",$N13," ",R$6," не допускается ! "),"")</f>
      </c>
      <c r="S13" s="221">
        <f>IF(IF(ISNA(INDEX(СГИ!$Q$3:$AJ$22,VLOOKUP($N13,СГИ!$O$3:$P$22,2),HLOOKUP(S$6,СГИ!$Q$1:$AJ$2,2))),"",INDEX(СГИ!$Q$3:$AJ$22,VLOOKUP($N13,СГИ!$O$3:$P$22,2),HLOOKUP(S$6,СГИ!$Q$1:$AJ$2,2)))=1,CONCATENATE("при измерении ",$N13," ",S$6," не допускается ! "),"")</f>
      </c>
      <c r="T13" s="221">
        <f>IF(IF(ISNA(INDEX(СГИ!$Q$3:$AJ$22,VLOOKUP($N13,СГИ!$O$3:$P$22,2),HLOOKUP(T$6,СГИ!$Q$1:$AJ$2,2))),"",INDEX(СГИ!$Q$3:$AJ$22,VLOOKUP($N13,СГИ!$O$3:$P$22,2),HLOOKUP(T$6,СГИ!$Q$1:$AJ$2,2)))=1,CONCATENATE("при измерении ",$N13," ",T$6," не допускается ! "),"")</f>
      </c>
      <c r="U13" s="221">
        <f>IF(IF(ISNA(INDEX(СГИ!$Q$3:$AJ$22,VLOOKUP($N13,СГИ!$O$3:$P$22,2),HLOOKUP(U$6,СГИ!$Q$1:$AJ$2,2))),"",INDEX(СГИ!$Q$3:$AJ$22,VLOOKUP($N13,СГИ!$O$3:$P$22,2),HLOOKUP(U$6,СГИ!$Q$1:$AJ$2,2)))=1,CONCATENATE("при измерении ",$N13," ",U$6," не допускается ! "),"")</f>
      </c>
      <c r="V13" s="221">
        <f>IF(IF(ISNA(INDEX(СГИ!$Q$3:$AJ$22,VLOOKUP($N13,СГИ!$O$3:$P$22,2),HLOOKUP(V$6,СГИ!$Q$1:$AJ$2,2))),"",INDEX(СГИ!$Q$3:$AJ$22,VLOOKUP($N13,СГИ!$O$3:$P$22,2),HLOOKUP(V$6,СГИ!$Q$1:$AJ$2,2)))=1,CONCATENATE("при измерении ",$N13," ",V$6," не допускается ! "),"")</f>
      </c>
      <c r="W13" s="221">
        <f>IF(IF(ISNA(INDEX(СГИ!$Q$3:$AJ$22,VLOOKUP($N13,СГИ!$O$3:$P$22,2),HLOOKUP(W$6,СГИ!$Q$1:$AJ$2,2))),"",INDEX(СГИ!$Q$3:$AJ$22,VLOOKUP($N13,СГИ!$O$3:$P$22,2),HLOOKUP(W$6,СГИ!$Q$1:$AJ$2,2)))=1,CONCATENATE("при измерении ",$N13," ",W$6," не допускается ! "),"")</f>
      </c>
      <c r="X13" s="221">
        <f>IF(IF(ISNA(INDEX(СГИ!$Q$3:$AJ$22,VLOOKUP($N13,СГИ!$O$3:$P$22,2),HLOOKUP(X$6,СГИ!$Q$1:$AJ$2,2))),"",INDEX(СГИ!$Q$3:$AJ$22,VLOOKUP($N13,СГИ!$O$3:$P$22,2),HLOOKUP(X$6,СГИ!$Q$1:$AJ$2,2)))=1,CONCATENATE("при измерении ",$N13," ",X$6," не допускается ! "),"")</f>
      </c>
      <c r="Y13" s="221">
        <f>IF(IF(ISNA(INDEX(СГИ!$Q$3:$AJ$22,VLOOKUP($N13,СГИ!$O$3:$P$22,2),HLOOKUP(Y$6,СГИ!$Q$1:$AJ$2,2))),"",INDEX(СГИ!$Q$3:$AJ$22,VLOOKUP($N13,СГИ!$O$3:$P$22,2),HLOOKUP(Y$6,СГИ!$Q$1:$AJ$2,2)))=1,CONCATENATE("при измерении ",$N13," ",Y$6," не допускается ! "),"")</f>
      </c>
      <c r="Z13" s="221">
        <f>IF(IF(ISNA(INDEX(СГИ!$Q$3:$AJ$22,VLOOKUP($N13,СГИ!$O$3:$P$22,2),HLOOKUP(Z$6,СГИ!$Q$1:$AJ$2,2))),"",INDEX(СГИ!$Q$3:$AJ$22,VLOOKUP($N13,СГИ!$O$3:$P$22,2),HLOOKUP(Z$6,СГИ!$Q$1:$AJ$2,2)))=1,CONCATENATE("при измерении ",$N13," ",Z$6," не допускается ! "),"")</f>
      </c>
      <c r="AA13" s="221">
        <f>IF(IF(ISNA(INDEX(СГИ!$Q$3:$AJ$22,VLOOKUP($N13,СГИ!$O$3:$P$22,2),HLOOKUP(AA$6,СГИ!$Q$1:$AJ$2,2))),"",INDEX(СГИ!$Q$3:$AJ$22,VLOOKUP($N13,СГИ!$O$3:$P$22,2),HLOOKUP(AA$6,СГИ!$Q$1:$AJ$2,2)))=1,CONCATENATE("при измерении ",$N13," ",AA$6," не допускается ! "),"")</f>
      </c>
      <c r="AB13" s="221">
        <f>IF(IF(ISNA(INDEX(СГИ!$Q$3:$AJ$22,VLOOKUP($N13,СГИ!$O$3:$P$22,2),HLOOKUP(AB$6,СГИ!$Q$1:$AJ$2,2))),"",INDEX(СГИ!$Q$3:$AJ$22,VLOOKUP($N13,СГИ!$O$3:$P$22,2),HLOOKUP(AB$6,СГИ!$Q$1:$AJ$2,2)))=1,CONCATENATE("при измерении ",$N13," ",AB$6," не допускается ! "),"")</f>
      </c>
      <c r="AC13" s="221">
        <f>IF(IF(ISNA(INDEX(СГИ!$Q$3:$AJ$22,VLOOKUP($N13,СГИ!$O$3:$P$22,2),HLOOKUP(AC$6,СГИ!$Q$1:$AJ$2,2))),"",INDEX(СГИ!$Q$3:$AJ$22,VLOOKUP($N13,СГИ!$O$3:$P$22,2),HLOOKUP(AC$6,СГИ!$Q$1:$AJ$2,2)))=1,CONCATENATE("при измерении ",$N13," ",AC$6," не допускается ! "),"")</f>
      </c>
      <c r="AD13" s="221">
        <f>IF(IF(ISNA(INDEX(СГИ!$Q$3:$AJ$22,VLOOKUP($N13,СГИ!$O$3:$P$22,2),HLOOKUP(AD$6,СГИ!$Q$1:$AJ$2,2))),"",INDEX(СГИ!$Q$3:$AJ$22,VLOOKUP($N13,СГИ!$O$3:$P$22,2),HLOOKUP(AD$6,СГИ!$Q$1:$AJ$2,2)))=1,CONCATENATE("при измерении ",$N13," ",AD$6," не допускается ! "),"")</f>
      </c>
      <c r="AE13" s="221">
        <f>IF(IF(ISNA(INDEX(СГИ!$Q$3:$AJ$22,VLOOKUP($N13,СГИ!$O$3:$P$22,2),HLOOKUP(AE$6,СГИ!$Q$1:$AJ$2,2))),"",INDEX(СГИ!$Q$3:$AJ$22,VLOOKUP($N13,СГИ!$O$3:$P$22,2),HLOOKUP(AE$6,СГИ!$Q$1:$AJ$2,2)))=1,CONCATENATE("при измерении ",$N13," ",AE$6," не допускается ! "),"")</f>
      </c>
      <c r="AF13" s="257">
        <f>IF(IF(ISNA(INDEX(СГИ!$Q$3:$AJ$22,VLOOKUP($N13,СГИ!$O$3:$P$22,2),HLOOKUP(AF$6,СГИ!$Q$1:$AJ$2,2))),"",INDEX(СГИ!$Q$3:$AJ$22,VLOOKUP($N13,СГИ!$O$3:$P$22,2),HLOOKUP(AF$6,СГИ!$Q$1:$AJ$2,2)))=1,CONCATENATE("при измерении ",$N13," ",AF$6," не допускается ! "),"")</f>
      </c>
      <c r="AG13">
        <f t="shared" si="2"/>
      </c>
    </row>
    <row r="14" spans="1:33" ht="23.25" customHeight="1" thickBot="1">
      <c r="A14" s="288"/>
      <c r="B14" s="224" t="s">
        <v>136</v>
      </c>
      <c r="C14" s="523"/>
      <c r="D14" s="255" t="str">
        <f t="shared" si="3"/>
        <v>&lt;- введите данные, если необходимо</v>
      </c>
      <c r="E14"/>
      <c r="F14" s="542" t="str">
        <f>CONCATENATE("НДС ",100*СГИ!$B$1,"%")</f>
        <v>НДС 20%</v>
      </c>
      <c r="G14" s="543" t="str">
        <f>IF(G13="проверьте ввод данных","--",SUM(G13:G13)*ПГ!B2)</f>
        <v>--</v>
      </c>
      <c r="H14" s="554">
        <f t="shared" si="0"/>
      </c>
      <c r="I14" s="504">
        <f t="shared" si="1"/>
        <v>0</v>
      </c>
      <c r="J14" s="250"/>
      <c r="L14" s="513">
        <f>IF(C14&gt;0,ПГ!S14,"")</f>
      </c>
      <c r="N14" s="220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57"/>
      <c r="AG14"/>
    </row>
    <row r="15" spans="1:33" ht="12.75" customHeight="1" thickBot="1">
      <c r="A15" s="288"/>
      <c r="B15" s="224" t="s">
        <v>341</v>
      </c>
      <c r="C15" s="287"/>
      <c r="D15" s="255" t="str">
        <f t="shared" si="3"/>
        <v>&lt;- введите данные, если необходимо</v>
      </c>
      <c r="E15"/>
      <c r="F15" s="544" t="s">
        <v>343</v>
      </c>
      <c r="G15" s="545" t="str">
        <f>IF(G13="проверьте ввод данных","--",SUM(G13:G14))</f>
        <v>--</v>
      </c>
      <c r="H15" s="554">
        <f t="shared" si="0"/>
      </c>
      <c r="I15" s="504">
        <f t="shared" si="1"/>
        <v>0</v>
      </c>
      <c r="J15" s="250"/>
      <c r="L15" s="513">
        <f>IF(C15&gt;0,ПГ!S15,"")</f>
      </c>
      <c r="N15" s="220">
        <f t="shared" si="4"/>
      </c>
      <c r="O15" s="221">
        <f>IF(IF(ISNA(INDEX(СГИ!$Q$3:$AJ$22,VLOOKUP($N15,СГИ!$O$3:$P$22,2),HLOOKUP(O$6,СГИ!$Q$1:$AJ$2,2))),"",INDEX(СГИ!$Q$3:$AJ$22,VLOOKUP($N15,СГИ!$O$3:$P$22,2),HLOOKUP(O$6,СГИ!$Q$1:$AJ$2,2)))=1,CONCATENATE("при измерении ",$N15," ",O$6," не допускается ! "),"")</f>
      </c>
      <c r="P15" s="221">
        <f>IF(IF(ISNA(INDEX(СГИ!$Q$3:$AJ$22,VLOOKUP($N15,СГИ!$O$3:$P$22,2),HLOOKUP(P$6,СГИ!$Q$1:$AJ$2,2))),"",INDEX(СГИ!$Q$3:$AJ$22,VLOOKUP($N15,СГИ!$O$3:$P$22,2),HLOOKUP(P$6,СГИ!$Q$1:$AJ$2,2)))=1,CONCATENATE("при измерении ",$N15," ",P$6," не допускается ! "),"")</f>
      </c>
      <c r="Q15" s="221">
        <f>IF(IF(ISNA(INDEX(СГИ!$Q$3:$AJ$22,VLOOKUP($N15,СГИ!$O$3:$P$22,2),HLOOKUP(Q$6,СГИ!$Q$1:$AJ$2,2))),"",INDEX(СГИ!$Q$3:$AJ$22,VLOOKUP($N15,СГИ!$O$3:$P$22,2),HLOOKUP(Q$6,СГИ!$Q$1:$AJ$2,2)))=1,CONCATENATE("при измерении ",$N15," ",Q$6," не допускается ! "),"")</f>
      </c>
      <c r="R15" s="221">
        <f>IF(IF(ISNA(INDEX(СГИ!$Q$3:$AJ$22,VLOOKUP($N15,СГИ!$O$3:$P$22,2),HLOOKUP(R$6,СГИ!$Q$1:$AJ$2,2))),"",INDEX(СГИ!$Q$3:$AJ$22,VLOOKUP($N15,СГИ!$O$3:$P$22,2),HLOOKUP(R$6,СГИ!$Q$1:$AJ$2,2)))=1,CONCATENATE("при измерении ",$N15," ",R$6," не допускается ! "),"")</f>
      </c>
      <c r="S15" s="221">
        <f>IF(IF(ISNA(INDEX(СГИ!$Q$3:$AJ$22,VLOOKUP($N15,СГИ!$O$3:$P$22,2),HLOOKUP(S$6,СГИ!$Q$1:$AJ$2,2))),"",INDEX(СГИ!$Q$3:$AJ$22,VLOOKUP($N15,СГИ!$O$3:$P$22,2),HLOOKUP(S$6,СГИ!$Q$1:$AJ$2,2)))=1,CONCATENATE("при измерении ",$N15," ",S$6," не допускается ! "),"")</f>
      </c>
      <c r="T15" s="221">
        <f>IF(IF(ISNA(INDEX(СГИ!$Q$3:$AJ$22,VLOOKUP($N15,СГИ!$O$3:$P$22,2),HLOOKUP(T$6,СГИ!$Q$1:$AJ$2,2))),"",INDEX(СГИ!$Q$3:$AJ$22,VLOOKUP($N15,СГИ!$O$3:$P$22,2),HLOOKUP(T$6,СГИ!$Q$1:$AJ$2,2)))=1,CONCATENATE("при измерении ",$N15," ",T$6," не допускается ! "),"")</f>
      </c>
      <c r="U15" s="221">
        <f>IF(IF(ISNA(INDEX(СГИ!$Q$3:$AJ$22,VLOOKUP($N15,СГИ!$O$3:$P$22,2),HLOOKUP(U$6,СГИ!$Q$1:$AJ$2,2))),"",INDEX(СГИ!$Q$3:$AJ$22,VLOOKUP($N15,СГИ!$O$3:$P$22,2),HLOOKUP(U$6,СГИ!$Q$1:$AJ$2,2)))=1,CONCATENATE("при измерении ",$N15," ",U$6," не допускается ! "),"")</f>
      </c>
      <c r="V15" s="221">
        <f>IF(IF(ISNA(INDEX(СГИ!$Q$3:$AJ$22,VLOOKUP($N15,СГИ!$O$3:$P$22,2),HLOOKUP(V$6,СГИ!$Q$1:$AJ$2,2))),"",INDEX(СГИ!$Q$3:$AJ$22,VLOOKUP($N15,СГИ!$O$3:$P$22,2),HLOOKUP(V$6,СГИ!$Q$1:$AJ$2,2)))=1,CONCATENATE("при измерении ",$N15," ",V$6," не допускается ! "),"")</f>
      </c>
      <c r="W15" s="221">
        <f>IF(IF(ISNA(INDEX(СГИ!$Q$3:$AJ$22,VLOOKUP($N15,СГИ!$O$3:$P$22,2),HLOOKUP(W$6,СГИ!$Q$1:$AJ$2,2))),"",INDEX(СГИ!$Q$3:$AJ$22,VLOOKUP($N15,СГИ!$O$3:$P$22,2),HLOOKUP(W$6,СГИ!$Q$1:$AJ$2,2)))=1,CONCATENATE("при измерении ",$N15," ",W$6," не допускается ! "),"")</f>
      </c>
      <c r="X15" s="221">
        <f>IF(IF(ISNA(INDEX(СГИ!$Q$3:$AJ$22,VLOOKUP($N15,СГИ!$O$3:$P$22,2),HLOOKUP(X$6,СГИ!$Q$1:$AJ$2,2))),"",INDEX(СГИ!$Q$3:$AJ$22,VLOOKUP($N15,СГИ!$O$3:$P$22,2),HLOOKUP(X$6,СГИ!$Q$1:$AJ$2,2)))=1,CONCATENATE("при измерении ",$N15," ",X$6," не допускается ! "),"")</f>
      </c>
      <c r="Y15" s="221">
        <f>IF(IF(ISNA(INDEX(СГИ!$Q$3:$AJ$22,VLOOKUP($N15,СГИ!$O$3:$P$22,2),HLOOKUP(Y$6,СГИ!$Q$1:$AJ$2,2))),"",INDEX(СГИ!$Q$3:$AJ$22,VLOOKUP($N15,СГИ!$O$3:$P$22,2),HLOOKUP(Y$6,СГИ!$Q$1:$AJ$2,2)))=1,CONCATENATE("при измерении ",$N15," ",Y$6," не допускается ! "),"")</f>
      </c>
      <c r="Z15" s="221">
        <f>IF(IF(ISNA(INDEX(СГИ!$Q$3:$AJ$22,VLOOKUP($N15,СГИ!$O$3:$P$22,2),HLOOKUP(Z$6,СГИ!$Q$1:$AJ$2,2))),"",INDEX(СГИ!$Q$3:$AJ$22,VLOOKUP($N15,СГИ!$O$3:$P$22,2),HLOOKUP(Z$6,СГИ!$Q$1:$AJ$2,2)))=1,CONCATENATE("при измерении ",$N15," ",Z$6," не допускается ! "),"")</f>
      </c>
      <c r="AA15" s="221">
        <f>IF(IF(ISNA(INDEX(СГИ!$Q$3:$AJ$22,VLOOKUP($N15,СГИ!$O$3:$P$22,2),HLOOKUP(AA$6,СГИ!$Q$1:$AJ$2,2))),"",INDEX(СГИ!$Q$3:$AJ$22,VLOOKUP($N15,СГИ!$O$3:$P$22,2),HLOOKUP(AA$6,СГИ!$Q$1:$AJ$2,2)))=1,CONCATENATE("при измерении ",$N15," ",AA$6," не допускается ! "),"")</f>
      </c>
      <c r="AB15" s="221">
        <f>IF(IF(ISNA(INDEX(СГИ!$Q$3:$AJ$22,VLOOKUP($N15,СГИ!$O$3:$P$22,2),HLOOKUP(AB$6,СГИ!$Q$1:$AJ$2,2))),"",INDEX(СГИ!$Q$3:$AJ$22,VLOOKUP($N15,СГИ!$O$3:$P$22,2),HLOOKUP(AB$6,СГИ!$Q$1:$AJ$2,2)))=1,CONCATENATE("при измерении ",$N15," ",AB$6," не допускается ! "),"")</f>
      </c>
      <c r="AC15" s="221">
        <f>IF(IF(ISNA(INDEX(СГИ!$Q$3:$AJ$22,VLOOKUP($N15,СГИ!$O$3:$P$22,2),HLOOKUP(AC$6,СГИ!$Q$1:$AJ$2,2))),"",INDEX(СГИ!$Q$3:$AJ$22,VLOOKUP($N15,СГИ!$O$3:$P$22,2),HLOOKUP(AC$6,СГИ!$Q$1:$AJ$2,2)))=1,CONCATENATE("при измерении ",$N15," ",AC$6," не допускается ! "),"")</f>
      </c>
      <c r="AD15" s="221">
        <f>IF(IF(ISNA(INDEX(СГИ!$Q$3:$AJ$22,VLOOKUP($N15,СГИ!$O$3:$P$22,2),HLOOKUP(AD$6,СГИ!$Q$1:$AJ$2,2))),"",INDEX(СГИ!$Q$3:$AJ$22,VLOOKUP($N15,СГИ!$O$3:$P$22,2),HLOOKUP(AD$6,СГИ!$Q$1:$AJ$2,2)))=1,CONCATENATE("при измерении ",$N15," ",AD$6," не допускается ! "),"")</f>
      </c>
      <c r="AE15" s="221">
        <f>IF(IF(ISNA(INDEX(СГИ!$Q$3:$AJ$22,VLOOKUP($N15,СГИ!$O$3:$P$22,2),HLOOKUP(AE$6,СГИ!$Q$1:$AJ$2,2))),"",INDEX(СГИ!$Q$3:$AJ$22,VLOOKUP($N15,СГИ!$O$3:$P$22,2),HLOOKUP(AE$6,СГИ!$Q$1:$AJ$2,2)))=1,CONCATENATE("при измерении ",$N15," ",AE$6," не допускается ! "),"")</f>
      </c>
      <c r="AF15" s="257">
        <f>IF(IF(ISNA(INDEX(СГИ!$Q$3:$AJ$22,VLOOKUP($N15,СГИ!$O$3:$P$22,2),HLOOKUP(AF$6,СГИ!$Q$1:$AJ$2,2))),"",INDEX(СГИ!$Q$3:$AJ$22,VLOOKUP($N15,СГИ!$O$3:$P$22,2),HLOOKUP(AF$6,СГИ!$Q$1:$AJ$2,2)))=1,CONCATENATE("при измерении ",$N15," ",AF$6," не допускается ! "),"")</f>
      </c>
      <c r="AG15">
        <f t="shared" si="2"/>
      </c>
    </row>
    <row r="16" spans="1:33" ht="12.75" customHeight="1" thickBot="1">
      <c r="A16" s="288"/>
      <c r="B16" s="224" t="s">
        <v>342</v>
      </c>
      <c r="C16" s="287"/>
      <c r="D16" s="255" t="str">
        <f t="shared" si="3"/>
        <v>&lt;- введите данные, если необходимо</v>
      </c>
      <c r="E16"/>
      <c r="F16" s="1083" t="s">
        <v>805</v>
      </c>
      <c r="G16" s="1084"/>
      <c r="H16" s="554">
        <f t="shared" si="0"/>
      </c>
      <c r="I16" s="504">
        <f t="shared" si="1"/>
        <v>0</v>
      </c>
      <c r="J16" s="250"/>
      <c r="L16" s="513">
        <f>IF(C16&gt;0,ПГ!S16,"")</f>
      </c>
      <c r="N16" s="220">
        <f t="shared" si="4"/>
      </c>
      <c r="O16" s="221">
        <f>IF(IF(ISNA(INDEX(СГИ!$Q$3:$AJ$22,VLOOKUP($N16,СГИ!$O$3:$P$22,2),HLOOKUP(O$6,СГИ!$Q$1:$AJ$2,2))),"",INDEX(СГИ!$Q$3:$AJ$22,VLOOKUP($N16,СГИ!$O$3:$P$22,2),HLOOKUP(O$6,СГИ!$Q$1:$AJ$2,2)))=1,CONCATENATE("при измерении ",$N16," ",O$6," не допускается ! "),"")</f>
      </c>
      <c r="P16" s="221">
        <f>IF(IF(ISNA(INDEX(СГИ!$Q$3:$AJ$22,VLOOKUP($N16,СГИ!$O$3:$P$22,2),HLOOKUP(P$6,СГИ!$Q$1:$AJ$2,2))),"",INDEX(СГИ!$Q$3:$AJ$22,VLOOKUP($N16,СГИ!$O$3:$P$22,2),HLOOKUP(P$6,СГИ!$Q$1:$AJ$2,2)))=1,CONCATENATE("при измерении ",$N16," ",P$6," не допускается ! "),"")</f>
      </c>
      <c r="Q16" s="221">
        <f>IF(IF(ISNA(INDEX(СГИ!$Q$3:$AJ$22,VLOOKUP($N16,СГИ!$O$3:$P$22,2),HLOOKUP(Q$6,СГИ!$Q$1:$AJ$2,2))),"",INDEX(СГИ!$Q$3:$AJ$22,VLOOKUP($N16,СГИ!$O$3:$P$22,2),HLOOKUP(Q$6,СГИ!$Q$1:$AJ$2,2)))=1,CONCATENATE("при измерении ",$N16," ",Q$6," не допускается ! "),"")</f>
      </c>
      <c r="R16" s="221">
        <f>IF(IF(ISNA(INDEX(СГИ!$Q$3:$AJ$22,VLOOKUP($N16,СГИ!$O$3:$P$22,2),HLOOKUP(R$6,СГИ!$Q$1:$AJ$2,2))),"",INDEX(СГИ!$Q$3:$AJ$22,VLOOKUP($N16,СГИ!$O$3:$P$22,2),HLOOKUP(R$6,СГИ!$Q$1:$AJ$2,2)))=1,CONCATENATE("при измерении ",$N16," ",R$6," не допускается ! "),"")</f>
      </c>
      <c r="S16" s="221">
        <f>IF(IF(ISNA(INDEX(СГИ!$Q$3:$AJ$22,VLOOKUP($N16,СГИ!$O$3:$P$22,2),HLOOKUP(S$6,СГИ!$Q$1:$AJ$2,2))),"",INDEX(СГИ!$Q$3:$AJ$22,VLOOKUP($N16,СГИ!$O$3:$P$22,2),HLOOKUP(S$6,СГИ!$Q$1:$AJ$2,2)))=1,CONCATENATE("при измерении ",$N16," ",S$6," не допускается ! "),"")</f>
      </c>
      <c r="T16" s="221">
        <f>IF(IF(ISNA(INDEX(СГИ!$Q$3:$AJ$22,VLOOKUP($N16,СГИ!$O$3:$P$22,2),HLOOKUP(T$6,СГИ!$Q$1:$AJ$2,2))),"",INDEX(СГИ!$Q$3:$AJ$22,VLOOKUP($N16,СГИ!$O$3:$P$22,2),HLOOKUP(T$6,СГИ!$Q$1:$AJ$2,2)))=1,CONCATENATE("при измерении ",$N16," ",T$6," не допускается ! "),"")</f>
      </c>
      <c r="U16" s="221">
        <f>IF(IF(ISNA(INDEX(СГИ!$Q$3:$AJ$22,VLOOKUP($N16,СГИ!$O$3:$P$22,2),HLOOKUP(U$6,СГИ!$Q$1:$AJ$2,2))),"",INDEX(СГИ!$Q$3:$AJ$22,VLOOKUP($N16,СГИ!$O$3:$P$22,2),HLOOKUP(U$6,СГИ!$Q$1:$AJ$2,2)))=1,CONCATENATE("при измерении ",$N16," ",U$6," не допускается ! "),"")</f>
      </c>
      <c r="V16" s="221">
        <f>IF(IF(ISNA(INDEX(СГИ!$Q$3:$AJ$22,VLOOKUP($N16,СГИ!$O$3:$P$22,2),HLOOKUP(V$6,СГИ!$Q$1:$AJ$2,2))),"",INDEX(СГИ!$Q$3:$AJ$22,VLOOKUP($N16,СГИ!$O$3:$P$22,2),HLOOKUP(V$6,СГИ!$Q$1:$AJ$2,2)))=1,CONCATENATE("при измерении ",$N16," ",V$6," не допускается ! "),"")</f>
      </c>
      <c r="W16" s="221">
        <f>IF(IF(ISNA(INDEX(СГИ!$Q$3:$AJ$22,VLOOKUP($N16,СГИ!$O$3:$P$22,2),HLOOKUP(W$6,СГИ!$Q$1:$AJ$2,2))),"",INDEX(СГИ!$Q$3:$AJ$22,VLOOKUP($N16,СГИ!$O$3:$P$22,2),HLOOKUP(W$6,СГИ!$Q$1:$AJ$2,2)))=1,CONCATENATE("при измерении ",$N16," ",W$6," не допускается ! "),"")</f>
      </c>
      <c r="X16" s="221">
        <f>IF(IF(ISNA(INDEX(СГИ!$Q$3:$AJ$22,VLOOKUP($N16,СГИ!$O$3:$P$22,2),HLOOKUP(X$6,СГИ!$Q$1:$AJ$2,2))),"",INDEX(СГИ!$Q$3:$AJ$22,VLOOKUP($N16,СГИ!$O$3:$P$22,2),HLOOKUP(X$6,СГИ!$Q$1:$AJ$2,2)))=1,CONCATENATE("при измерении ",$N16," ",X$6," не допускается ! "),"")</f>
      </c>
      <c r="Y16" s="221">
        <f>IF(IF(ISNA(INDEX(СГИ!$Q$3:$AJ$22,VLOOKUP($N16,СГИ!$O$3:$P$22,2),HLOOKUP(Y$6,СГИ!$Q$1:$AJ$2,2))),"",INDEX(СГИ!$Q$3:$AJ$22,VLOOKUP($N16,СГИ!$O$3:$P$22,2),HLOOKUP(Y$6,СГИ!$Q$1:$AJ$2,2)))=1,CONCATENATE("при измерении ",$N16," ",Y$6," не допускается ! "),"")</f>
      </c>
      <c r="Z16" s="221">
        <f>IF(IF(ISNA(INDEX(СГИ!$Q$3:$AJ$22,VLOOKUP($N16,СГИ!$O$3:$P$22,2),HLOOKUP(Z$6,СГИ!$Q$1:$AJ$2,2))),"",INDEX(СГИ!$Q$3:$AJ$22,VLOOKUP($N16,СГИ!$O$3:$P$22,2),HLOOKUP(Z$6,СГИ!$Q$1:$AJ$2,2)))=1,CONCATENATE("при измерении ",$N16," ",Z$6," не допускается ! "),"")</f>
      </c>
      <c r="AA16" s="221">
        <f>IF(IF(ISNA(INDEX(СГИ!$Q$3:$AJ$22,VLOOKUP($N16,СГИ!$O$3:$P$22,2),HLOOKUP(AA$6,СГИ!$Q$1:$AJ$2,2))),"",INDEX(СГИ!$Q$3:$AJ$22,VLOOKUP($N16,СГИ!$O$3:$P$22,2),HLOOKUP(AA$6,СГИ!$Q$1:$AJ$2,2)))=1,CONCATENATE("при измерении ",$N16," ",AA$6," не допускается ! "),"")</f>
      </c>
      <c r="AB16" s="221">
        <f>IF(IF(ISNA(INDEX(СГИ!$Q$3:$AJ$22,VLOOKUP($N16,СГИ!$O$3:$P$22,2),HLOOKUP(AB$6,СГИ!$Q$1:$AJ$2,2))),"",INDEX(СГИ!$Q$3:$AJ$22,VLOOKUP($N16,СГИ!$O$3:$P$22,2),HLOOKUP(AB$6,СГИ!$Q$1:$AJ$2,2)))=1,CONCATENATE("при измерении ",$N16," ",AB$6," не допускается ! "),"")</f>
      </c>
      <c r="AC16" s="221">
        <f>IF(IF(ISNA(INDEX(СГИ!$Q$3:$AJ$22,VLOOKUP($N16,СГИ!$O$3:$P$22,2),HLOOKUP(AC$6,СГИ!$Q$1:$AJ$2,2))),"",INDEX(СГИ!$Q$3:$AJ$22,VLOOKUP($N16,СГИ!$O$3:$P$22,2),HLOOKUP(AC$6,СГИ!$Q$1:$AJ$2,2)))=1,CONCATENATE("при измерении ",$N16," ",AC$6," не допускается ! "),"")</f>
      </c>
      <c r="AD16" s="221">
        <f>IF(IF(ISNA(INDEX(СГИ!$Q$3:$AJ$22,VLOOKUP($N16,СГИ!$O$3:$P$22,2),HLOOKUP(AD$6,СГИ!$Q$1:$AJ$2,2))),"",INDEX(СГИ!$Q$3:$AJ$22,VLOOKUP($N16,СГИ!$O$3:$P$22,2),HLOOKUP(AD$6,СГИ!$Q$1:$AJ$2,2)))=1,CONCATENATE("при измерении ",$N16," ",AD$6," не допускается ! "),"")</f>
      </c>
      <c r="AE16" s="221">
        <f>IF(IF(ISNA(INDEX(СГИ!$Q$3:$AJ$22,VLOOKUP($N16,СГИ!$O$3:$P$22,2),HLOOKUP(AE$6,СГИ!$Q$1:$AJ$2,2))),"",INDEX(СГИ!$Q$3:$AJ$22,VLOOKUP($N16,СГИ!$O$3:$P$22,2),HLOOKUP(AE$6,СГИ!$Q$1:$AJ$2,2)))=1,CONCATENATE("при измерении ",$N16," ",AE$6," не допускается ! "),"")</f>
      </c>
      <c r="AF16" s="257">
        <f>IF(IF(ISNA(INDEX(СГИ!$Q$3:$AJ$22,VLOOKUP($N16,СГИ!$O$3:$P$22,2),HLOOKUP(AF$6,СГИ!$Q$1:$AJ$2,2))),"",INDEX(СГИ!$Q$3:$AJ$22,VLOOKUP($N16,СГИ!$O$3:$P$22,2),HLOOKUP(AF$6,СГИ!$Q$1:$AJ$2,2)))=1,CONCATENATE("при измерении ",$N16," ",AF$6," не допускается ! "),"")</f>
      </c>
      <c r="AG16">
        <f t="shared" si="2"/>
      </c>
    </row>
    <row r="17" spans="1:33" ht="12.75" customHeight="1" thickBot="1">
      <c r="A17" s="289"/>
      <c r="B17" s="224" t="s">
        <v>344</v>
      </c>
      <c r="C17" s="287"/>
      <c r="D17" s="255" t="str">
        <f t="shared" si="3"/>
        <v>&lt;- введите данные, если необходимо</v>
      </c>
      <c r="E17"/>
      <c r="F17" s="1085"/>
      <c r="G17" s="1086"/>
      <c r="H17" s="554">
        <f t="shared" si="0"/>
      </c>
      <c r="I17" s="504">
        <f t="shared" si="1"/>
        <v>0</v>
      </c>
      <c r="J17" s="250"/>
      <c r="L17" s="513">
        <f>IF(C17&gt;0,ПГ!S17,"")</f>
      </c>
      <c r="N17" s="220">
        <f t="shared" si="4"/>
      </c>
      <c r="O17" s="221">
        <f>IF(IF(ISNA(INDEX(СГИ!$Q$3:$AJ$22,VLOOKUP($N17,СГИ!$O$3:$P$22,2),HLOOKUP(O$6,СГИ!$Q$1:$AJ$2,2))),"",INDEX(СГИ!$Q$3:$AJ$22,VLOOKUP($N17,СГИ!$O$3:$P$22,2),HLOOKUP(O$6,СГИ!$Q$1:$AJ$2,2)))=1,CONCATENATE("при измерении ",$N17," ",O$6," не допускается ! "),"")</f>
      </c>
      <c r="P17" s="221">
        <f>IF(IF(ISNA(INDEX(СГИ!$Q$3:$AJ$22,VLOOKUP($N17,СГИ!$O$3:$P$22,2),HLOOKUP(P$6,СГИ!$Q$1:$AJ$2,2))),"",INDEX(СГИ!$Q$3:$AJ$22,VLOOKUP($N17,СГИ!$O$3:$P$22,2),HLOOKUP(P$6,СГИ!$Q$1:$AJ$2,2)))=1,CONCATENATE("при измерении ",$N17," ",P$6," не допускается ! "),"")</f>
      </c>
      <c r="Q17" s="221">
        <f>IF(IF(ISNA(INDEX(СГИ!$Q$3:$AJ$22,VLOOKUP($N17,СГИ!$O$3:$P$22,2),HLOOKUP(Q$6,СГИ!$Q$1:$AJ$2,2))),"",INDEX(СГИ!$Q$3:$AJ$22,VLOOKUP($N17,СГИ!$O$3:$P$22,2),HLOOKUP(Q$6,СГИ!$Q$1:$AJ$2,2)))=1,CONCATENATE("при измерении ",$N17," ",Q$6," не допускается ! "),"")</f>
      </c>
      <c r="R17" s="221">
        <f>IF(IF(ISNA(INDEX(СГИ!$Q$3:$AJ$22,VLOOKUP($N17,СГИ!$O$3:$P$22,2),HLOOKUP(R$6,СГИ!$Q$1:$AJ$2,2))),"",INDEX(СГИ!$Q$3:$AJ$22,VLOOKUP($N17,СГИ!$O$3:$P$22,2),HLOOKUP(R$6,СГИ!$Q$1:$AJ$2,2)))=1,CONCATENATE("при измерении ",$N17," ",R$6," не допускается ! "),"")</f>
      </c>
      <c r="S17" s="221">
        <f>IF(IF(ISNA(INDEX(СГИ!$Q$3:$AJ$22,VLOOKUP($N17,СГИ!$O$3:$P$22,2),HLOOKUP(S$6,СГИ!$Q$1:$AJ$2,2))),"",INDEX(СГИ!$Q$3:$AJ$22,VLOOKUP($N17,СГИ!$O$3:$P$22,2),HLOOKUP(S$6,СГИ!$Q$1:$AJ$2,2)))=1,CONCATENATE("при измерении ",$N17," ",S$6," не допускается ! "),"")</f>
      </c>
      <c r="T17" s="221">
        <f>IF(IF(ISNA(INDEX(СГИ!$Q$3:$AJ$22,VLOOKUP($N17,СГИ!$O$3:$P$22,2),HLOOKUP(T$6,СГИ!$Q$1:$AJ$2,2))),"",INDEX(СГИ!$Q$3:$AJ$22,VLOOKUP($N17,СГИ!$O$3:$P$22,2),HLOOKUP(T$6,СГИ!$Q$1:$AJ$2,2)))=1,CONCATENATE("при измерении ",$N17," ",T$6," не допускается ! "),"")</f>
      </c>
      <c r="U17" s="221">
        <f>IF(IF(ISNA(INDEX(СГИ!$Q$3:$AJ$22,VLOOKUP($N17,СГИ!$O$3:$P$22,2),HLOOKUP(U$6,СГИ!$Q$1:$AJ$2,2))),"",INDEX(СГИ!$Q$3:$AJ$22,VLOOKUP($N17,СГИ!$O$3:$P$22,2),HLOOKUP(U$6,СГИ!$Q$1:$AJ$2,2)))=1,CONCATENATE("при измерении ",$N17," ",U$6," не допускается ! "),"")</f>
      </c>
      <c r="V17" s="221">
        <f>IF(IF(ISNA(INDEX(СГИ!$Q$3:$AJ$22,VLOOKUP($N17,СГИ!$O$3:$P$22,2),HLOOKUP(V$6,СГИ!$Q$1:$AJ$2,2))),"",INDEX(СГИ!$Q$3:$AJ$22,VLOOKUP($N17,СГИ!$O$3:$P$22,2),HLOOKUP(V$6,СГИ!$Q$1:$AJ$2,2)))=1,CONCATENATE("при измерении ",$N17," ",V$6," не допускается ! "),"")</f>
      </c>
      <c r="W17" s="221">
        <f>IF(IF(ISNA(INDEX(СГИ!$Q$3:$AJ$22,VLOOKUP($N17,СГИ!$O$3:$P$22,2),HLOOKUP(W$6,СГИ!$Q$1:$AJ$2,2))),"",INDEX(СГИ!$Q$3:$AJ$22,VLOOKUP($N17,СГИ!$O$3:$P$22,2),HLOOKUP(W$6,СГИ!$Q$1:$AJ$2,2)))=1,CONCATENATE("при измерении ",$N17," ",W$6," не допускается ! "),"")</f>
      </c>
      <c r="X17" s="221">
        <f>IF(IF(ISNA(INDEX(СГИ!$Q$3:$AJ$22,VLOOKUP($N17,СГИ!$O$3:$P$22,2),HLOOKUP(X$6,СГИ!$Q$1:$AJ$2,2))),"",INDEX(СГИ!$Q$3:$AJ$22,VLOOKUP($N17,СГИ!$O$3:$P$22,2),HLOOKUP(X$6,СГИ!$Q$1:$AJ$2,2)))=1,CONCATENATE("при измерении ",$N17," ",X$6," не допускается ! "),"")</f>
      </c>
      <c r="Y17" s="221">
        <f>IF(IF(ISNA(INDEX(СГИ!$Q$3:$AJ$22,VLOOKUP($N17,СГИ!$O$3:$P$22,2),HLOOKUP(Y$6,СГИ!$Q$1:$AJ$2,2))),"",INDEX(СГИ!$Q$3:$AJ$22,VLOOKUP($N17,СГИ!$O$3:$P$22,2),HLOOKUP(Y$6,СГИ!$Q$1:$AJ$2,2)))=1,CONCATENATE("при измерении ",$N17," ",Y$6," не допускается ! "),"")</f>
      </c>
      <c r="Z17" s="221">
        <f>IF(IF(ISNA(INDEX(СГИ!$Q$3:$AJ$22,VLOOKUP($N17,СГИ!$O$3:$P$22,2),HLOOKUP(Z$6,СГИ!$Q$1:$AJ$2,2))),"",INDEX(СГИ!$Q$3:$AJ$22,VLOOKUP($N17,СГИ!$O$3:$P$22,2),HLOOKUP(Z$6,СГИ!$Q$1:$AJ$2,2)))=1,CONCATENATE("при измерении ",$N17," ",Z$6," не допускается ! "),"")</f>
      </c>
      <c r="AA17" s="221">
        <f>IF(IF(ISNA(INDEX(СГИ!$Q$3:$AJ$22,VLOOKUP($N17,СГИ!$O$3:$P$22,2),HLOOKUP(AA$6,СГИ!$Q$1:$AJ$2,2))),"",INDEX(СГИ!$Q$3:$AJ$22,VLOOKUP($N17,СГИ!$O$3:$P$22,2),HLOOKUP(AA$6,СГИ!$Q$1:$AJ$2,2)))=1,CONCATENATE("при измерении ",$N17," ",AA$6," не допускается ! "),"")</f>
      </c>
      <c r="AB17" s="221">
        <f>IF(IF(ISNA(INDEX(СГИ!$Q$3:$AJ$22,VLOOKUP($N17,СГИ!$O$3:$P$22,2),HLOOKUP(AB$6,СГИ!$Q$1:$AJ$2,2))),"",INDEX(СГИ!$Q$3:$AJ$22,VLOOKUP($N17,СГИ!$O$3:$P$22,2),HLOOKUP(AB$6,СГИ!$Q$1:$AJ$2,2)))=1,CONCATENATE("при измерении ",$N17," ",AB$6," не допускается ! "),"")</f>
      </c>
      <c r="AC17" s="221">
        <f>IF(IF(ISNA(INDEX(СГИ!$Q$3:$AJ$22,VLOOKUP($N17,СГИ!$O$3:$P$22,2),HLOOKUP(AC$6,СГИ!$Q$1:$AJ$2,2))),"",INDEX(СГИ!$Q$3:$AJ$22,VLOOKUP($N17,СГИ!$O$3:$P$22,2),HLOOKUP(AC$6,СГИ!$Q$1:$AJ$2,2)))=1,CONCATENATE("при измерении ",$N17," ",AC$6," не допускается ! "),"")</f>
      </c>
      <c r="AD17" s="221">
        <f>IF(IF(ISNA(INDEX(СГИ!$Q$3:$AJ$22,VLOOKUP($N17,СГИ!$O$3:$P$22,2),HLOOKUP(AD$6,СГИ!$Q$1:$AJ$2,2))),"",INDEX(СГИ!$Q$3:$AJ$22,VLOOKUP($N17,СГИ!$O$3:$P$22,2),HLOOKUP(AD$6,СГИ!$Q$1:$AJ$2,2)))=1,CONCATENATE("при измерении ",$N17," ",AD$6," не допускается ! "),"")</f>
      </c>
      <c r="AE17" s="221">
        <f>IF(IF(ISNA(INDEX(СГИ!$Q$3:$AJ$22,VLOOKUP($N17,СГИ!$O$3:$P$22,2),HLOOKUP(AE$6,СГИ!$Q$1:$AJ$2,2))),"",INDEX(СГИ!$Q$3:$AJ$22,VLOOKUP($N17,СГИ!$O$3:$P$22,2),HLOOKUP(AE$6,СГИ!$Q$1:$AJ$2,2)))=1,CONCATENATE("при измерении ",$N17," ",AE$6," не допускается ! "),"")</f>
      </c>
      <c r="AF17" s="257">
        <f>IF(IF(ISNA(INDEX(СГИ!$Q$3:$AJ$22,VLOOKUP($N17,СГИ!$O$3:$P$22,2),HLOOKUP(AF$6,СГИ!$Q$1:$AJ$2,2))),"",INDEX(СГИ!$Q$3:$AJ$22,VLOOKUP($N17,СГИ!$O$3:$P$22,2),HLOOKUP(AF$6,СГИ!$Q$1:$AJ$2,2)))=1,CONCATENATE("при измерении ",$N17," ",AF$6," не допускается ! "),"")</f>
      </c>
      <c r="AG17">
        <f t="shared" si="2"/>
      </c>
    </row>
    <row r="18" spans="1:33" ht="12.75" customHeight="1" thickBot="1">
      <c r="A18" s="288"/>
      <c r="B18" s="224" t="s">
        <v>345</v>
      </c>
      <c r="C18" s="287"/>
      <c r="D18" s="255" t="str">
        <f t="shared" si="3"/>
        <v>&lt;- введите данные, если необходимо</v>
      </c>
      <c r="E18"/>
      <c r="F18" s="1085"/>
      <c r="G18" s="1086"/>
      <c r="H18" s="554">
        <f t="shared" si="0"/>
      </c>
      <c r="I18" s="504">
        <f t="shared" si="1"/>
        <v>0</v>
      </c>
      <c r="J18" s="250"/>
      <c r="L18" s="513">
        <f>IF(C18&gt;0,ПГ!S18,"")</f>
      </c>
      <c r="N18" s="220">
        <f t="shared" si="4"/>
      </c>
      <c r="O18" s="221">
        <f>IF(IF(ISNA(INDEX(СГИ!$Q$3:$AJ$22,VLOOKUP($N18,СГИ!$O$3:$P$22,2),HLOOKUP(O$6,СГИ!$Q$1:$AJ$2,2))),"",INDEX(СГИ!$Q$3:$AJ$22,VLOOKUP($N18,СГИ!$O$3:$P$22,2),HLOOKUP(O$6,СГИ!$Q$1:$AJ$2,2)))=1,CONCATENATE("при измерении ",$N18," ",O$6," не допускается ! "),"")</f>
      </c>
      <c r="P18" s="221">
        <f>IF(IF(ISNA(INDEX(СГИ!$Q$3:$AJ$22,VLOOKUP($N18,СГИ!$O$3:$P$22,2),HLOOKUP(P$6,СГИ!$Q$1:$AJ$2,2))),"",INDEX(СГИ!$Q$3:$AJ$22,VLOOKUP($N18,СГИ!$O$3:$P$22,2),HLOOKUP(P$6,СГИ!$Q$1:$AJ$2,2)))=1,CONCATENATE("при измерении ",$N18," ",P$6," не допускается ! "),"")</f>
      </c>
      <c r="Q18" s="221">
        <f>IF(IF(ISNA(INDEX(СГИ!$Q$3:$AJ$22,VLOOKUP($N18,СГИ!$O$3:$P$22,2),HLOOKUP(Q$6,СГИ!$Q$1:$AJ$2,2))),"",INDEX(СГИ!$Q$3:$AJ$22,VLOOKUP($N18,СГИ!$O$3:$P$22,2),HLOOKUP(Q$6,СГИ!$Q$1:$AJ$2,2)))=1,CONCATENATE("при измерении ",$N18," ",Q$6," не допускается ! "),"")</f>
      </c>
      <c r="R18" s="221">
        <f>IF(IF(ISNA(INDEX(СГИ!$Q$3:$AJ$22,VLOOKUP($N18,СГИ!$O$3:$P$22,2),HLOOKUP(R$6,СГИ!$Q$1:$AJ$2,2))),"",INDEX(СГИ!$Q$3:$AJ$22,VLOOKUP($N18,СГИ!$O$3:$P$22,2),HLOOKUP(R$6,СГИ!$Q$1:$AJ$2,2)))=1,CONCATENATE("при измерении ",$N18," ",R$6," не допускается ! "),"")</f>
      </c>
      <c r="S18" s="221">
        <f>IF(IF(ISNA(INDEX(СГИ!$Q$3:$AJ$22,VLOOKUP($N18,СГИ!$O$3:$P$22,2),HLOOKUP(S$6,СГИ!$Q$1:$AJ$2,2))),"",INDEX(СГИ!$Q$3:$AJ$22,VLOOKUP($N18,СГИ!$O$3:$P$22,2),HLOOKUP(S$6,СГИ!$Q$1:$AJ$2,2)))=1,CONCATENATE("при измерении ",$N18," ",S$6," не допускается ! "),"")</f>
      </c>
      <c r="T18" s="221">
        <f>IF(IF(ISNA(INDEX(СГИ!$Q$3:$AJ$22,VLOOKUP($N18,СГИ!$O$3:$P$22,2),HLOOKUP(T$6,СГИ!$Q$1:$AJ$2,2))),"",INDEX(СГИ!$Q$3:$AJ$22,VLOOKUP($N18,СГИ!$O$3:$P$22,2),HLOOKUP(T$6,СГИ!$Q$1:$AJ$2,2)))=1,CONCATENATE("при измерении ",$N18," ",T$6," не допускается ! "),"")</f>
      </c>
      <c r="U18" s="221">
        <f>IF(IF(ISNA(INDEX(СГИ!$Q$3:$AJ$22,VLOOKUP($N18,СГИ!$O$3:$P$22,2),HLOOKUP(U$6,СГИ!$Q$1:$AJ$2,2))),"",INDEX(СГИ!$Q$3:$AJ$22,VLOOKUP($N18,СГИ!$O$3:$P$22,2),HLOOKUP(U$6,СГИ!$Q$1:$AJ$2,2)))=1,CONCATENATE("при измерении ",$N18," ",U$6," не допускается ! "),"")</f>
      </c>
      <c r="V18" s="221">
        <f>IF(IF(ISNA(INDEX(СГИ!$Q$3:$AJ$22,VLOOKUP($N18,СГИ!$O$3:$P$22,2),HLOOKUP(V$6,СГИ!$Q$1:$AJ$2,2))),"",INDEX(СГИ!$Q$3:$AJ$22,VLOOKUP($N18,СГИ!$O$3:$P$22,2),HLOOKUP(V$6,СГИ!$Q$1:$AJ$2,2)))=1,CONCATENATE("при измерении ",$N18," ",V$6," не допускается ! "),"")</f>
      </c>
      <c r="W18" s="221">
        <f>IF(IF(ISNA(INDEX(СГИ!$Q$3:$AJ$22,VLOOKUP($N18,СГИ!$O$3:$P$22,2),HLOOKUP(W$6,СГИ!$Q$1:$AJ$2,2))),"",INDEX(СГИ!$Q$3:$AJ$22,VLOOKUP($N18,СГИ!$O$3:$P$22,2),HLOOKUP(W$6,СГИ!$Q$1:$AJ$2,2)))=1,CONCATENATE("при измерении ",$N18," ",W$6," не допускается ! "),"")</f>
      </c>
      <c r="X18" s="221">
        <f>IF(IF(ISNA(INDEX(СГИ!$Q$3:$AJ$22,VLOOKUP($N18,СГИ!$O$3:$P$22,2),HLOOKUP(X$6,СГИ!$Q$1:$AJ$2,2))),"",INDEX(СГИ!$Q$3:$AJ$22,VLOOKUP($N18,СГИ!$O$3:$P$22,2),HLOOKUP(X$6,СГИ!$Q$1:$AJ$2,2)))=1,CONCATENATE("при измерении ",$N18," ",X$6," не допускается ! "),"")</f>
      </c>
      <c r="Y18" s="221">
        <f>IF(IF(ISNA(INDEX(СГИ!$Q$3:$AJ$22,VLOOKUP($N18,СГИ!$O$3:$P$22,2),HLOOKUP(Y$6,СГИ!$Q$1:$AJ$2,2))),"",INDEX(СГИ!$Q$3:$AJ$22,VLOOKUP($N18,СГИ!$O$3:$P$22,2),HLOOKUP(Y$6,СГИ!$Q$1:$AJ$2,2)))=1,CONCATENATE("при измерении ",$N18," ",Y$6," не допускается ! "),"")</f>
      </c>
      <c r="Z18" s="221">
        <f>IF(IF(ISNA(INDEX(СГИ!$Q$3:$AJ$22,VLOOKUP($N18,СГИ!$O$3:$P$22,2),HLOOKUP(Z$6,СГИ!$Q$1:$AJ$2,2))),"",INDEX(СГИ!$Q$3:$AJ$22,VLOOKUP($N18,СГИ!$O$3:$P$22,2),HLOOKUP(Z$6,СГИ!$Q$1:$AJ$2,2)))=1,CONCATENATE("при измерении ",$N18," ",Z$6," не допускается ! "),"")</f>
      </c>
      <c r="AA18" s="221">
        <f>IF(IF(ISNA(INDEX(СГИ!$Q$3:$AJ$22,VLOOKUP($N18,СГИ!$O$3:$P$22,2),HLOOKUP(AA$6,СГИ!$Q$1:$AJ$2,2))),"",INDEX(СГИ!$Q$3:$AJ$22,VLOOKUP($N18,СГИ!$O$3:$P$22,2),HLOOKUP(AA$6,СГИ!$Q$1:$AJ$2,2)))=1,CONCATENATE("при измерении ",$N18," ",AA$6," не допускается ! "),"")</f>
      </c>
      <c r="AB18" s="221">
        <f>IF(IF(ISNA(INDEX(СГИ!$Q$3:$AJ$22,VLOOKUP($N18,СГИ!$O$3:$P$22,2),HLOOKUP(AB$6,СГИ!$Q$1:$AJ$2,2))),"",INDEX(СГИ!$Q$3:$AJ$22,VLOOKUP($N18,СГИ!$O$3:$P$22,2),HLOOKUP(AB$6,СГИ!$Q$1:$AJ$2,2)))=1,CONCATENATE("при измерении ",$N18," ",AB$6," не допускается ! "),"")</f>
      </c>
      <c r="AC18" s="221">
        <f>IF(IF(ISNA(INDEX(СГИ!$Q$3:$AJ$22,VLOOKUP($N18,СГИ!$O$3:$P$22,2),HLOOKUP(AC$6,СГИ!$Q$1:$AJ$2,2))),"",INDEX(СГИ!$Q$3:$AJ$22,VLOOKUP($N18,СГИ!$O$3:$P$22,2),HLOOKUP(AC$6,СГИ!$Q$1:$AJ$2,2)))=1,CONCATENATE("при измерении ",$N18," ",AC$6," не допускается ! "),"")</f>
      </c>
      <c r="AD18" s="221">
        <f>IF(IF(ISNA(INDEX(СГИ!$Q$3:$AJ$22,VLOOKUP($N18,СГИ!$O$3:$P$22,2),HLOOKUP(AD$6,СГИ!$Q$1:$AJ$2,2))),"",INDEX(СГИ!$Q$3:$AJ$22,VLOOKUP($N18,СГИ!$O$3:$P$22,2),HLOOKUP(AD$6,СГИ!$Q$1:$AJ$2,2)))=1,CONCATENATE("при измерении ",$N18," ",AD$6," не допускается ! "),"")</f>
      </c>
      <c r="AE18" s="221">
        <f>IF(IF(ISNA(INDEX(СГИ!$Q$3:$AJ$22,VLOOKUP($N18,СГИ!$O$3:$P$22,2),HLOOKUP(AE$6,СГИ!$Q$1:$AJ$2,2))),"",INDEX(СГИ!$Q$3:$AJ$22,VLOOKUP($N18,СГИ!$O$3:$P$22,2),HLOOKUP(AE$6,СГИ!$Q$1:$AJ$2,2)))=1,CONCATENATE("при измерении ",$N18," ",AE$6," не допускается ! "),"")</f>
      </c>
      <c r="AF18" s="257">
        <f>IF(IF(ISNA(INDEX(СГИ!$Q$3:$AJ$22,VLOOKUP($N18,СГИ!$O$3:$P$22,2),HLOOKUP(AF$6,СГИ!$Q$1:$AJ$2,2))),"",INDEX(СГИ!$Q$3:$AJ$22,VLOOKUP($N18,СГИ!$O$3:$P$22,2),HLOOKUP(AF$6,СГИ!$Q$1:$AJ$2,2)))=1,CONCATENATE("при измерении ",$N18," ",AF$6," не допускается ! "),"")</f>
      </c>
      <c r="AG18">
        <f t="shared" si="2"/>
      </c>
    </row>
    <row r="19" spans="1:33" ht="12.75" customHeight="1" thickBot="1">
      <c r="A19" s="288"/>
      <c r="B19" s="224" t="s">
        <v>346</v>
      </c>
      <c r="C19" s="287"/>
      <c r="D19" s="255" t="str">
        <f t="shared" si="3"/>
        <v>&lt;- введите данные, если необходимо</v>
      </c>
      <c r="E19"/>
      <c r="F19" s="1085"/>
      <c r="G19" s="1086"/>
      <c r="H19" s="554">
        <f t="shared" si="0"/>
      </c>
      <c r="I19" s="504">
        <f t="shared" si="1"/>
        <v>0</v>
      </c>
      <c r="J19" s="250"/>
      <c r="L19" s="513">
        <f>IF(C19&gt;0,ПГ!S19,"")</f>
      </c>
      <c r="N19" s="220">
        <f t="shared" si="4"/>
      </c>
      <c r="O19" s="221">
        <f>IF(IF(ISNA(INDEX(СГИ!$Q$3:$AJ$22,VLOOKUP($N19,СГИ!$O$3:$P$22,2),HLOOKUP(O$6,СГИ!$Q$1:$AJ$2,2))),"",INDEX(СГИ!$Q$3:$AJ$22,VLOOKUP($N19,СГИ!$O$3:$P$22,2),HLOOKUP(O$6,СГИ!$Q$1:$AJ$2,2)))=1,CONCATENATE("при измерении ",$N19," ",O$6," не допускается ! "),"")</f>
      </c>
      <c r="P19" s="221">
        <f>IF(IF(ISNA(INDEX(СГИ!$Q$3:$AJ$22,VLOOKUP($N19,СГИ!$O$3:$P$22,2),HLOOKUP(P$6,СГИ!$Q$1:$AJ$2,2))),"",INDEX(СГИ!$Q$3:$AJ$22,VLOOKUP($N19,СГИ!$O$3:$P$22,2),HLOOKUP(P$6,СГИ!$Q$1:$AJ$2,2)))=1,CONCATENATE("при измерении ",$N19," ",P$6," не допускается ! "),"")</f>
      </c>
      <c r="Q19" s="221">
        <f>IF(IF(ISNA(INDEX(СГИ!$Q$3:$AJ$22,VLOOKUP($N19,СГИ!$O$3:$P$22,2),HLOOKUP(Q$6,СГИ!$Q$1:$AJ$2,2))),"",INDEX(СГИ!$Q$3:$AJ$22,VLOOKUP($N19,СГИ!$O$3:$P$22,2),HLOOKUP(Q$6,СГИ!$Q$1:$AJ$2,2)))=1,CONCATENATE("при измерении ",$N19," ",Q$6," не допускается ! "),"")</f>
      </c>
      <c r="R19" s="221">
        <f>IF(IF(ISNA(INDEX(СГИ!$Q$3:$AJ$22,VLOOKUP($N19,СГИ!$O$3:$P$22,2),HLOOKUP(R$6,СГИ!$Q$1:$AJ$2,2))),"",INDEX(СГИ!$Q$3:$AJ$22,VLOOKUP($N19,СГИ!$O$3:$P$22,2),HLOOKUP(R$6,СГИ!$Q$1:$AJ$2,2)))=1,CONCATENATE("при измерении ",$N19," ",R$6," не допускается ! "),"")</f>
      </c>
      <c r="S19" s="221">
        <f>IF(IF(ISNA(INDEX(СГИ!$Q$3:$AJ$22,VLOOKUP($N19,СГИ!$O$3:$P$22,2),HLOOKUP(S$6,СГИ!$Q$1:$AJ$2,2))),"",INDEX(СГИ!$Q$3:$AJ$22,VLOOKUP($N19,СГИ!$O$3:$P$22,2),HLOOKUP(S$6,СГИ!$Q$1:$AJ$2,2)))=1,CONCATENATE("при измерении ",$N19," ",S$6," не допускается ! "),"")</f>
      </c>
      <c r="T19" s="221">
        <f>IF(IF(ISNA(INDEX(СГИ!$Q$3:$AJ$22,VLOOKUP($N19,СГИ!$O$3:$P$22,2),HLOOKUP(T$6,СГИ!$Q$1:$AJ$2,2))),"",INDEX(СГИ!$Q$3:$AJ$22,VLOOKUP($N19,СГИ!$O$3:$P$22,2),HLOOKUP(T$6,СГИ!$Q$1:$AJ$2,2)))=1,CONCATENATE("при измерении ",$N19," ",T$6," не допускается ! "),"")</f>
      </c>
      <c r="U19" s="221">
        <f>IF(IF(ISNA(INDEX(СГИ!$Q$3:$AJ$22,VLOOKUP($N19,СГИ!$O$3:$P$22,2),HLOOKUP(U$6,СГИ!$Q$1:$AJ$2,2))),"",INDEX(СГИ!$Q$3:$AJ$22,VLOOKUP($N19,СГИ!$O$3:$P$22,2),HLOOKUP(U$6,СГИ!$Q$1:$AJ$2,2)))=1,CONCATENATE("при измерении ",$N19," ",U$6," не допускается ! "),"")</f>
      </c>
      <c r="V19" s="221">
        <f>IF(IF(ISNA(INDEX(СГИ!$Q$3:$AJ$22,VLOOKUP($N19,СГИ!$O$3:$P$22,2),HLOOKUP(V$6,СГИ!$Q$1:$AJ$2,2))),"",INDEX(СГИ!$Q$3:$AJ$22,VLOOKUP($N19,СГИ!$O$3:$P$22,2),HLOOKUP(V$6,СГИ!$Q$1:$AJ$2,2)))=1,CONCATENATE("при измерении ",$N19," ",V$6," не допускается ! "),"")</f>
      </c>
      <c r="W19" s="221">
        <f>IF(IF(ISNA(INDEX(СГИ!$Q$3:$AJ$22,VLOOKUP($N19,СГИ!$O$3:$P$22,2),HLOOKUP(W$6,СГИ!$Q$1:$AJ$2,2))),"",INDEX(СГИ!$Q$3:$AJ$22,VLOOKUP($N19,СГИ!$O$3:$P$22,2),HLOOKUP(W$6,СГИ!$Q$1:$AJ$2,2)))=1,CONCATENATE("при измерении ",$N19," ",W$6," не допускается ! "),"")</f>
      </c>
      <c r="X19" s="221">
        <f>IF(IF(ISNA(INDEX(СГИ!$Q$3:$AJ$22,VLOOKUP($N19,СГИ!$O$3:$P$22,2),HLOOKUP(X$6,СГИ!$Q$1:$AJ$2,2))),"",INDEX(СГИ!$Q$3:$AJ$22,VLOOKUP($N19,СГИ!$O$3:$P$22,2),HLOOKUP(X$6,СГИ!$Q$1:$AJ$2,2)))=1,CONCATENATE("при измерении ",$N19," ",X$6," не допускается ! "),"")</f>
      </c>
      <c r="Y19" s="221">
        <f>IF(IF(ISNA(INDEX(СГИ!$Q$3:$AJ$22,VLOOKUP($N19,СГИ!$O$3:$P$22,2),HLOOKUP(Y$6,СГИ!$Q$1:$AJ$2,2))),"",INDEX(СГИ!$Q$3:$AJ$22,VLOOKUP($N19,СГИ!$O$3:$P$22,2),HLOOKUP(Y$6,СГИ!$Q$1:$AJ$2,2)))=1,CONCATENATE("при измерении ",$N19," ",Y$6," не допускается ! "),"")</f>
      </c>
      <c r="Z19" s="221">
        <f>IF(IF(ISNA(INDEX(СГИ!$Q$3:$AJ$22,VLOOKUP($N19,СГИ!$O$3:$P$22,2),HLOOKUP(Z$6,СГИ!$Q$1:$AJ$2,2))),"",INDEX(СГИ!$Q$3:$AJ$22,VLOOKUP($N19,СГИ!$O$3:$P$22,2),HLOOKUP(Z$6,СГИ!$Q$1:$AJ$2,2)))=1,CONCATENATE("при измерении ",$N19," ",Z$6," не допускается ! "),"")</f>
      </c>
      <c r="AA19" s="221">
        <f>IF(IF(ISNA(INDEX(СГИ!$Q$3:$AJ$22,VLOOKUP($N19,СГИ!$O$3:$P$22,2),HLOOKUP(AA$6,СГИ!$Q$1:$AJ$2,2))),"",INDEX(СГИ!$Q$3:$AJ$22,VLOOKUP($N19,СГИ!$O$3:$P$22,2),HLOOKUP(AA$6,СГИ!$Q$1:$AJ$2,2)))=1,CONCATENATE("при измерении ",$N19," ",AA$6," не допускается ! "),"")</f>
      </c>
      <c r="AB19" s="221">
        <f>IF(IF(ISNA(INDEX(СГИ!$Q$3:$AJ$22,VLOOKUP($N19,СГИ!$O$3:$P$22,2),HLOOKUP(AB$6,СГИ!$Q$1:$AJ$2,2))),"",INDEX(СГИ!$Q$3:$AJ$22,VLOOKUP($N19,СГИ!$O$3:$P$22,2),HLOOKUP(AB$6,СГИ!$Q$1:$AJ$2,2)))=1,CONCATENATE("при измерении ",$N19," ",AB$6," не допускается ! "),"")</f>
      </c>
      <c r="AC19" s="221">
        <f>IF(IF(ISNA(INDEX(СГИ!$Q$3:$AJ$22,VLOOKUP($N19,СГИ!$O$3:$P$22,2),HLOOKUP(AC$6,СГИ!$Q$1:$AJ$2,2))),"",INDEX(СГИ!$Q$3:$AJ$22,VLOOKUP($N19,СГИ!$O$3:$P$22,2),HLOOKUP(AC$6,СГИ!$Q$1:$AJ$2,2)))=1,CONCATENATE("при измерении ",$N19," ",AC$6," не допускается ! "),"")</f>
      </c>
      <c r="AD19" s="221">
        <f>IF(IF(ISNA(INDEX(СГИ!$Q$3:$AJ$22,VLOOKUP($N19,СГИ!$O$3:$P$22,2),HLOOKUP(AD$6,СГИ!$Q$1:$AJ$2,2))),"",INDEX(СГИ!$Q$3:$AJ$22,VLOOKUP($N19,СГИ!$O$3:$P$22,2),HLOOKUP(AD$6,СГИ!$Q$1:$AJ$2,2)))=1,CONCATENATE("при измерении ",$N19," ",AD$6," не допускается ! "),"")</f>
      </c>
      <c r="AE19" s="221">
        <f>IF(IF(ISNA(INDEX(СГИ!$Q$3:$AJ$22,VLOOKUP($N19,СГИ!$O$3:$P$22,2),HLOOKUP(AE$6,СГИ!$Q$1:$AJ$2,2))),"",INDEX(СГИ!$Q$3:$AJ$22,VLOOKUP($N19,СГИ!$O$3:$P$22,2),HLOOKUP(AE$6,СГИ!$Q$1:$AJ$2,2)))=1,CONCATENATE("при измерении ",$N19," ",AE$6," не допускается ! "),"")</f>
      </c>
      <c r="AF19" s="257">
        <f>IF(IF(ISNA(INDEX(СГИ!$Q$3:$AJ$22,VLOOKUP($N19,СГИ!$O$3:$P$22,2),HLOOKUP(AF$6,СГИ!$Q$1:$AJ$2,2))),"",INDEX(СГИ!$Q$3:$AJ$22,VLOOKUP($N19,СГИ!$O$3:$P$22,2),HLOOKUP(AF$6,СГИ!$Q$1:$AJ$2,2)))=1,CONCATENATE("при измерении ",$N19," ",AF$6," не допускается ! "),"")</f>
      </c>
      <c r="AG19">
        <f t="shared" si="2"/>
      </c>
    </row>
    <row r="20" spans="1:33" ht="12.75" customHeight="1" thickBot="1">
      <c r="A20" s="264"/>
      <c r="B20" s="989" t="s">
        <v>48</v>
      </c>
      <c r="C20" s="999"/>
      <c r="D20" s="991" t="str">
        <f t="shared" si="3"/>
        <v>&lt;- введите данные, если необходимо</v>
      </c>
      <c r="E20"/>
      <c r="F20" s="1085"/>
      <c r="G20" s="1086"/>
      <c r="H20" s="554">
        <f t="shared" si="0"/>
      </c>
      <c r="I20" s="504">
        <f t="shared" si="1"/>
        <v>0</v>
      </c>
      <c r="J20" s="250"/>
      <c r="L20" s="513">
        <f>IF(C20&gt;0,ПГ!S20,"")</f>
      </c>
      <c r="N20" s="220">
        <f t="shared" si="4"/>
      </c>
      <c r="O20" s="221">
        <f>IF(IF(ISNA(INDEX(СГИ!$Q$3:$AJ$22,VLOOKUP($N20,СГИ!$O$3:$P$22,2),HLOOKUP(O$6,СГИ!$Q$1:$AJ$2,2))),"",INDEX(СГИ!$Q$3:$AJ$22,VLOOKUP($N20,СГИ!$O$3:$P$22,2),HLOOKUP(O$6,СГИ!$Q$1:$AJ$2,2)))=1,CONCATENATE("при измерении ",$N20," ",O$6," не допускается ! "),"")</f>
      </c>
      <c r="P20" s="221">
        <f>IF(IF(ISNA(INDEX(СГИ!$Q$3:$AJ$22,VLOOKUP($N20,СГИ!$O$3:$P$22,2),HLOOKUP(P$6,СГИ!$Q$1:$AJ$2,2))),"",INDEX(СГИ!$Q$3:$AJ$22,VLOOKUP($N20,СГИ!$O$3:$P$22,2),HLOOKUP(P$6,СГИ!$Q$1:$AJ$2,2)))=1,CONCATENATE("при измерении ",$N20," ",P$6," не допускается ! "),"")</f>
      </c>
      <c r="Q20" s="221">
        <f>IF(IF(ISNA(INDEX(СГИ!$Q$3:$AJ$22,VLOOKUP($N20,СГИ!$O$3:$P$22,2),HLOOKUP(Q$6,СГИ!$Q$1:$AJ$2,2))),"",INDEX(СГИ!$Q$3:$AJ$22,VLOOKUP($N20,СГИ!$O$3:$P$22,2),HLOOKUP(Q$6,СГИ!$Q$1:$AJ$2,2)))=1,CONCATENATE("при измерении ",$N20," ",Q$6," не допускается ! "),"")</f>
      </c>
      <c r="R20" s="221">
        <f>IF(IF(ISNA(INDEX(СГИ!$Q$3:$AJ$22,VLOOKUP($N20,СГИ!$O$3:$P$22,2),HLOOKUP(R$6,СГИ!$Q$1:$AJ$2,2))),"",INDEX(СГИ!$Q$3:$AJ$22,VLOOKUP($N20,СГИ!$O$3:$P$22,2),HLOOKUP(R$6,СГИ!$Q$1:$AJ$2,2)))=1,CONCATENATE("при измерении ",$N20," ",R$6," не допускается ! "),"")</f>
      </c>
      <c r="S20" s="221">
        <f>IF(IF(ISNA(INDEX(СГИ!$Q$3:$AJ$22,VLOOKUP($N20,СГИ!$O$3:$P$22,2),HLOOKUP(S$6,СГИ!$Q$1:$AJ$2,2))),"",INDEX(СГИ!$Q$3:$AJ$22,VLOOKUP($N20,СГИ!$O$3:$P$22,2),HLOOKUP(S$6,СГИ!$Q$1:$AJ$2,2)))=1,CONCATENATE("при измерении ",$N20," ",S$6," не допускается ! "),"")</f>
      </c>
      <c r="T20" s="221">
        <f>IF(IF(ISNA(INDEX(СГИ!$Q$3:$AJ$22,VLOOKUP($N20,СГИ!$O$3:$P$22,2),HLOOKUP(T$6,СГИ!$Q$1:$AJ$2,2))),"",INDEX(СГИ!$Q$3:$AJ$22,VLOOKUP($N20,СГИ!$O$3:$P$22,2),HLOOKUP(T$6,СГИ!$Q$1:$AJ$2,2)))=1,CONCATENATE("при измерении ",$N20," ",T$6," не допускается ! "),"")</f>
      </c>
      <c r="U20" s="221">
        <f>IF(IF(ISNA(INDEX(СГИ!$Q$3:$AJ$22,VLOOKUP($N20,СГИ!$O$3:$P$22,2),HLOOKUP(U$6,СГИ!$Q$1:$AJ$2,2))),"",INDEX(СГИ!$Q$3:$AJ$22,VLOOKUP($N20,СГИ!$O$3:$P$22,2),HLOOKUP(U$6,СГИ!$Q$1:$AJ$2,2)))=1,CONCATENATE("при измерении ",$N20," ",U$6," не допускается ! "),"")</f>
      </c>
      <c r="V20" s="221">
        <f>IF(IF(ISNA(INDEX(СГИ!$Q$3:$AJ$22,VLOOKUP($N20,СГИ!$O$3:$P$22,2),HLOOKUP(V$6,СГИ!$Q$1:$AJ$2,2))),"",INDEX(СГИ!$Q$3:$AJ$22,VLOOKUP($N20,СГИ!$O$3:$P$22,2),HLOOKUP(V$6,СГИ!$Q$1:$AJ$2,2)))=1,CONCATENATE("при измерении ",$N20," ",V$6," не допускается ! "),"")</f>
      </c>
      <c r="W20" s="221">
        <f>IF(IF(ISNA(INDEX(СГИ!$Q$3:$AJ$22,VLOOKUP($N20,СГИ!$O$3:$P$22,2),HLOOKUP(W$6,СГИ!$Q$1:$AJ$2,2))),"",INDEX(СГИ!$Q$3:$AJ$22,VLOOKUP($N20,СГИ!$O$3:$P$22,2),HLOOKUP(W$6,СГИ!$Q$1:$AJ$2,2)))=1,CONCATENATE("при измерении ",$N20," ",W$6," не допускается ! "),"")</f>
      </c>
      <c r="X20" s="221">
        <f>IF(IF(ISNA(INDEX(СГИ!$Q$3:$AJ$22,VLOOKUP($N20,СГИ!$O$3:$P$22,2),HLOOKUP(X$6,СГИ!$Q$1:$AJ$2,2))),"",INDEX(СГИ!$Q$3:$AJ$22,VLOOKUP($N20,СГИ!$O$3:$P$22,2),HLOOKUP(X$6,СГИ!$Q$1:$AJ$2,2)))=1,CONCATENATE("при измерении ",$N20," ",X$6," не допускается ! "),"")</f>
      </c>
      <c r="Y20" s="221">
        <f>IF(IF(ISNA(INDEX(СГИ!$Q$3:$AJ$22,VLOOKUP($N20,СГИ!$O$3:$P$22,2),HLOOKUP(Y$6,СГИ!$Q$1:$AJ$2,2))),"",INDEX(СГИ!$Q$3:$AJ$22,VLOOKUP($N20,СГИ!$O$3:$P$22,2),HLOOKUP(Y$6,СГИ!$Q$1:$AJ$2,2)))=1,CONCATENATE("при измерении ",$N20," ",Y$6," не допускается ! "),"")</f>
      </c>
      <c r="Z20" s="221">
        <f>IF(IF(ISNA(INDEX(СГИ!$Q$3:$AJ$22,VLOOKUP($N20,СГИ!$O$3:$P$22,2),HLOOKUP(Z$6,СГИ!$Q$1:$AJ$2,2))),"",INDEX(СГИ!$Q$3:$AJ$22,VLOOKUP($N20,СГИ!$O$3:$P$22,2),HLOOKUP(Z$6,СГИ!$Q$1:$AJ$2,2)))=1,CONCATENATE("при измерении ",$N20," ",Z$6," не допускается ! "),"")</f>
      </c>
      <c r="AA20" s="221">
        <f>IF(IF(ISNA(INDEX(СГИ!$Q$3:$AJ$22,VLOOKUP($N20,СГИ!$O$3:$P$22,2),HLOOKUP(AA$6,СГИ!$Q$1:$AJ$2,2))),"",INDEX(СГИ!$Q$3:$AJ$22,VLOOKUP($N20,СГИ!$O$3:$P$22,2),HLOOKUP(AA$6,СГИ!$Q$1:$AJ$2,2)))=1,CONCATENATE("при измерении ",$N20," ",AA$6," не допускается ! "),"")</f>
      </c>
      <c r="AB20" s="221">
        <f>IF(IF(ISNA(INDEX(СГИ!$Q$3:$AJ$22,VLOOKUP($N20,СГИ!$O$3:$P$22,2),HLOOKUP(AB$6,СГИ!$Q$1:$AJ$2,2))),"",INDEX(СГИ!$Q$3:$AJ$22,VLOOKUP($N20,СГИ!$O$3:$P$22,2),HLOOKUP(AB$6,СГИ!$Q$1:$AJ$2,2)))=1,CONCATENATE("при измерении ",$N20," ",AB$6," не допускается ! "),"")</f>
      </c>
      <c r="AC20" s="221">
        <f>IF(IF(ISNA(INDEX(СГИ!$Q$3:$AJ$22,VLOOKUP($N20,СГИ!$O$3:$P$22,2),HLOOKUP(AC$6,СГИ!$Q$1:$AJ$2,2))),"",INDEX(СГИ!$Q$3:$AJ$22,VLOOKUP($N20,СГИ!$O$3:$P$22,2),HLOOKUP(AC$6,СГИ!$Q$1:$AJ$2,2)))=1,CONCATENATE("при измерении ",$N20," ",AC$6," не допускается ! "),"")</f>
      </c>
      <c r="AD20" s="221">
        <f>IF(IF(ISNA(INDEX(СГИ!$Q$3:$AJ$22,VLOOKUP($N20,СГИ!$O$3:$P$22,2),HLOOKUP(AD$6,СГИ!$Q$1:$AJ$2,2))),"",INDEX(СГИ!$Q$3:$AJ$22,VLOOKUP($N20,СГИ!$O$3:$P$22,2),HLOOKUP(AD$6,СГИ!$Q$1:$AJ$2,2)))=1,CONCATENATE("при измерении ",$N20," ",AD$6," не допускается ! "),"")</f>
      </c>
      <c r="AE20" s="221">
        <f>IF(IF(ISNA(INDEX(СГИ!$Q$3:$AJ$22,VLOOKUP($N20,СГИ!$O$3:$P$22,2),HLOOKUP(AE$6,СГИ!$Q$1:$AJ$2,2))),"",INDEX(СГИ!$Q$3:$AJ$22,VLOOKUP($N20,СГИ!$O$3:$P$22,2),HLOOKUP(AE$6,СГИ!$Q$1:$AJ$2,2)))=1,CONCATENATE("при измерении ",$N20," ",AE$6," не допускается ! "),"")</f>
      </c>
      <c r="AF20" s="257">
        <f>IF(IF(ISNA(INDEX(СГИ!$Q$3:$AJ$22,VLOOKUP($N20,СГИ!$O$3:$P$22,2),HLOOKUP(AF$6,СГИ!$Q$1:$AJ$2,2))),"",INDEX(СГИ!$Q$3:$AJ$22,VLOOKUP($N20,СГИ!$O$3:$P$22,2),HLOOKUP(AF$6,СГИ!$Q$1:$AJ$2,2)))=1,CONCATENATE("при измерении ",$N20," ",AF$6," не допускается ! "),"")</f>
      </c>
      <c r="AG20">
        <f t="shared" si="2"/>
      </c>
    </row>
    <row r="21" spans="1:33" ht="12.75" customHeight="1" thickBot="1">
      <c r="A21" s="264"/>
      <c r="B21" s="989" t="s">
        <v>117</v>
      </c>
      <c r="C21" s="1000"/>
      <c r="D21" s="991" t="str">
        <f t="shared" si="3"/>
        <v>&lt;- введите данные, если необходимо</v>
      </c>
      <c r="E21"/>
      <c r="F21" s="1085"/>
      <c r="G21" s="1086"/>
      <c r="H21" s="554">
        <f t="shared" si="0"/>
      </c>
      <c r="I21" s="504">
        <f t="shared" si="1"/>
        <v>0</v>
      </c>
      <c r="L21" s="513">
        <f>IF(C21&gt;0,ПГ!S21,"")</f>
      </c>
      <c r="N21" s="220">
        <f t="shared" si="4"/>
      </c>
      <c r="O21" s="221">
        <f>IF(IF(ISNA(INDEX(СГИ!$Q$3:$AJ$22,VLOOKUP($N21,СГИ!$O$3:$P$22,2),HLOOKUP(O$6,СГИ!$Q$1:$AJ$2,2))),"",INDEX(СГИ!$Q$3:$AJ$22,VLOOKUP($N21,СГИ!$O$3:$P$22,2),HLOOKUP(O$6,СГИ!$Q$1:$AJ$2,2)))=1,CONCATENATE("при измерении ",$N21," ",O$6," не допускается ! "),"")</f>
      </c>
      <c r="P21" s="221">
        <f>IF(IF(ISNA(INDEX(СГИ!$Q$3:$AJ$22,VLOOKUP($N21,СГИ!$O$3:$P$22,2),HLOOKUP(P$6,СГИ!$Q$1:$AJ$2,2))),"",INDEX(СГИ!$Q$3:$AJ$22,VLOOKUP($N21,СГИ!$O$3:$P$22,2),HLOOKUP(P$6,СГИ!$Q$1:$AJ$2,2)))=1,CONCATENATE("при измерении ",$N21," ",P$6," не допускается ! "),"")</f>
      </c>
      <c r="Q21" s="221">
        <f>IF(IF(ISNA(INDEX(СГИ!$Q$3:$AJ$22,VLOOKUP($N21,СГИ!$O$3:$P$22,2),HLOOKUP(Q$6,СГИ!$Q$1:$AJ$2,2))),"",INDEX(СГИ!$Q$3:$AJ$22,VLOOKUP($N21,СГИ!$O$3:$P$22,2),HLOOKUP(Q$6,СГИ!$Q$1:$AJ$2,2)))=1,CONCATENATE("при измерении ",$N21," ",Q$6," не допускается ! "),"")</f>
      </c>
      <c r="R21" s="221">
        <f>IF(IF(ISNA(INDEX(СГИ!$Q$3:$AJ$22,VLOOKUP($N21,СГИ!$O$3:$P$22,2),HLOOKUP(R$6,СГИ!$Q$1:$AJ$2,2))),"",INDEX(СГИ!$Q$3:$AJ$22,VLOOKUP($N21,СГИ!$O$3:$P$22,2),HLOOKUP(R$6,СГИ!$Q$1:$AJ$2,2)))=1,CONCATENATE("при измерении ",$N21," ",R$6," не допускается ! "),"")</f>
      </c>
      <c r="S21" s="221">
        <f>IF(IF(ISNA(INDEX(СГИ!$Q$3:$AJ$22,VLOOKUP($N21,СГИ!$O$3:$P$22,2),HLOOKUP(S$6,СГИ!$Q$1:$AJ$2,2))),"",INDEX(СГИ!$Q$3:$AJ$22,VLOOKUP($N21,СГИ!$O$3:$P$22,2),HLOOKUP(S$6,СГИ!$Q$1:$AJ$2,2)))=1,CONCATENATE("при измерении ",$N21," ",S$6," не допускается ! "),"")</f>
      </c>
      <c r="T21" s="221">
        <f>IF(IF(ISNA(INDEX(СГИ!$Q$3:$AJ$22,VLOOKUP($N21,СГИ!$O$3:$P$22,2),HLOOKUP(T$6,СГИ!$Q$1:$AJ$2,2))),"",INDEX(СГИ!$Q$3:$AJ$22,VLOOKUP($N21,СГИ!$O$3:$P$22,2),HLOOKUP(T$6,СГИ!$Q$1:$AJ$2,2)))=1,CONCATENATE("при измерении ",$N21," ",T$6," не допускается ! "),"")</f>
      </c>
      <c r="U21" s="221">
        <f>IF(IF(ISNA(INDEX(СГИ!$Q$3:$AJ$22,VLOOKUP($N21,СГИ!$O$3:$P$22,2),HLOOKUP(U$6,СГИ!$Q$1:$AJ$2,2))),"",INDEX(СГИ!$Q$3:$AJ$22,VLOOKUP($N21,СГИ!$O$3:$P$22,2),HLOOKUP(U$6,СГИ!$Q$1:$AJ$2,2)))=1,CONCATENATE("при измерении ",$N21," ",U$6," не допускается ! "),"")</f>
      </c>
      <c r="V21" s="221">
        <f>IF(IF(ISNA(INDEX(СГИ!$Q$3:$AJ$22,VLOOKUP($N21,СГИ!$O$3:$P$22,2),HLOOKUP(V$6,СГИ!$Q$1:$AJ$2,2))),"",INDEX(СГИ!$Q$3:$AJ$22,VLOOKUP($N21,СГИ!$O$3:$P$22,2),HLOOKUP(V$6,СГИ!$Q$1:$AJ$2,2)))=1,CONCATENATE("при измерении ",$N21," ",V$6," не допускается ! "),"")</f>
      </c>
      <c r="W21" s="221">
        <f>IF(IF(ISNA(INDEX(СГИ!$Q$3:$AJ$22,VLOOKUP($N21,СГИ!$O$3:$P$22,2),HLOOKUP(W$6,СГИ!$Q$1:$AJ$2,2))),"",INDEX(СГИ!$Q$3:$AJ$22,VLOOKUP($N21,СГИ!$O$3:$P$22,2),HLOOKUP(W$6,СГИ!$Q$1:$AJ$2,2)))=1,CONCATENATE("при измерении ",$N21," ",W$6," не допускается ! "),"")</f>
      </c>
      <c r="X21" s="221">
        <f>IF(IF(ISNA(INDEX(СГИ!$Q$3:$AJ$22,VLOOKUP($N21,СГИ!$O$3:$P$22,2),HLOOKUP(X$6,СГИ!$Q$1:$AJ$2,2))),"",INDEX(СГИ!$Q$3:$AJ$22,VLOOKUP($N21,СГИ!$O$3:$P$22,2),HLOOKUP(X$6,СГИ!$Q$1:$AJ$2,2)))=1,CONCATENATE("при измерении ",$N21," ",X$6," не допускается ! "),"")</f>
      </c>
      <c r="Y21" s="221">
        <f>IF(IF(ISNA(INDEX(СГИ!$Q$3:$AJ$22,VLOOKUP($N21,СГИ!$O$3:$P$22,2),HLOOKUP(Y$6,СГИ!$Q$1:$AJ$2,2))),"",INDEX(СГИ!$Q$3:$AJ$22,VLOOKUP($N21,СГИ!$O$3:$P$22,2),HLOOKUP(Y$6,СГИ!$Q$1:$AJ$2,2)))=1,CONCATENATE("при измерении ",$N21," ",Y$6," не допускается ! "),"")</f>
      </c>
      <c r="Z21" s="221">
        <f>IF(IF(ISNA(INDEX(СГИ!$Q$3:$AJ$22,VLOOKUP($N21,СГИ!$O$3:$P$22,2),HLOOKUP(Z$6,СГИ!$Q$1:$AJ$2,2))),"",INDEX(СГИ!$Q$3:$AJ$22,VLOOKUP($N21,СГИ!$O$3:$P$22,2),HLOOKUP(Z$6,СГИ!$Q$1:$AJ$2,2)))=1,CONCATENATE("при измерении ",$N21," ",Z$6," не допускается ! "),"")</f>
      </c>
      <c r="AA21" s="221">
        <f>IF(IF(ISNA(INDEX(СГИ!$Q$3:$AJ$22,VLOOKUP($N21,СГИ!$O$3:$P$22,2),HLOOKUP(AA$6,СГИ!$Q$1:$AJ$2,2))),"",INDEX(СГИ!$Q$3:$AJ$22,VLOOKUP($N21,СГИ!$O$3:$P$22,2),HLOOKUP(AA$6,СГИ!$Q$1:$AJ$2,2)))=1,CONCATENATE("при измерении ",$N21," ",AA$6," не допускается ! "),"")</f>
      </c>
      <c r="AB21" s="221">
        <f>IF(IF(ISNA(INDEX(СГИ!$Q$3:$AJ$22,VLOOKUP($N21,СГИ!$O$3:$P$22,2),HLOOKUP(AB$6,СГИ!$Q$1:$AJ$2,2))),"",INDEX(СГИ!$Q$3:$AJ$22,VLOOKUP($N21,СГИ!$O$3:$P$22,2),HLOOKUP(AB$6,СГИ!$Q$1:$AJ$2,2)))=1,CONCATENATE("при измерении ",$N21," ",AB$6," не допускается ! "),"")</f>
      </c>
      <c r="AC21" s="221">
        <f>IF(IF(ISNA(INDEX(СГИ!$Q$3:$AJ$22,VLOOKUP($N21,СГИ!$O$3:$P$22,2),HLOOKUP(AC$6,СГИ!$Q$1:$AJ$2,2))),"",INDEX(СГИ!$Q$3:$AJ$22,VLOOKUP($N21,СГИ!$O$3:$P$22,2),HLOOKUP(AC$6,СГИ!$Q$1:$AJ$2,2)))=1,CONCATENATE("при измерении ",$N21," ",AC$6," не допускается ! "),"")</f>
      </c>
      <c r="AD21" s="221">
        <f>IF(IF(ISNA(INDEX(СГИ!$Q$3:$AJ$22,VLOOKUP($N21,СГИ!$O$3:$P$22,2),HLOOKUP(AD$6,СГИ!$Q$1:$AJ$2,2))),"",INDEX(СГИ!$Q$3:$AJ$22,VLOOKUP($N21,СГИ!$O$3:$P$22,2),HLOOKUP(AD$6,СГИ!$Q$1:$AJ$2,2)))=1,CONCATENATE("при измерении ",$N21," ",AD$6," не допускается ! "),"")</f>
      </c>
      <c r="AE21" s="221">
        <f>IF(IF(ISNA(INDEX(СГИ!$Q$3:$AJ$22,VLOOKUP($N21,СГИ!$O$3:$P$22,2),HLOOKUP(AE$6,СГИ!$Q$1:$AJ$2,2))),"",INDEX(СГИ!$Q$3:$AJ$22,VLOOKUP($N21,СГИ!$O$3:$P$22,2),HLOOKUP(AE$6,СГИ!$Q$1:$AJ$2,2)))=1,CONCATENATE("при измерении ",$N21," ",AE$6," не допускается ! "),"")</f>
      </c>
      <c r="AF21" s="257">
        <f>IF(IF(ISNA(INDEX(СГИ!$Q$3:$AJ$22,VLOOKUP($N21,СГИ!$O$3:$P$22,2),HLOOKUP(AF$6,СГИ!$Q$1:$AJ$2,2))),"",INDEX(СГИ!$Q$3:$AJ$22,VLOOKUP($N21,СГИ!$O$3:$P$22,2),HLOOKUP(AF$6,СГИ!$Q$1:$AJ$2,2)))=1,CONCATENATE("при измерении ",$N21," ",AF$6," не допускается ! "),"")</f>
      </c>
      <c r="AG21">
        <f t="shared" si="2"/>
      </c>
    </row>
    <row r="22" spans="1:33" ht="21.75" customHeight="1" thickBot="1">
      <c r="A22" s="524"/>
      <c r="B22" s="526" t="s">
        <v>493</v>
      </c>
      <c r="C22" s="525"/>
      <c r="D22" s="255"/>
      <c r="E22"/>
      <c r="F22" s="1085"/>
      <c r="G22" s="1086"/>
      <c r="H22" s="554">
        <f t="shared" si="0"/>
      </c>
      <c r="I22" s="511">
        <f t="shared" si="1"/>
        <v>0</v>
      </c>
      <c r="L22" s="514">
        <f>IF(C22&gt;0,ПГ!S22,"")</f>
      </c>
      <c r="N22" s="220">
        <f t="shared" si="4"/>
      </c>
      <c r="O22" s="221">
        <f>IF(IF(ISNA(INDEX(СГИ!$Q$3:$AJ$22,VLOOKUP($N22,СГИ!$O$3:$P$22,2),HLOOKUP(O$6,СГИ!$Q$1:$AJ$2,2))),"",INDEX(СГИ!$Q$3:$AJ$22,VLOOKUP($N22,СГИ!$O$3:$P$22,2),HLOOKUP(O$6,СГИ!$Q$1:$AJ$2,2)))=1,CONCATENATE("при измерении ",$N22," ",O$6," не допускается ! "),"")</f>
      </c>
      <c r="P22" s="221">
        <f>IF(IF(ISNA(INDEX(СГИ!$Q$3:$AJ$22,VLOOKUP($N22,СГИ!$O$3:$P$22,2),HLOOKUP(P$6,СГИ!$Q$1:$AJ$2,2))),"",INDEX(СГИ!$Q$3:$AJ$22,VLOOKUP($N22,СГИ!$O$3:$P$22,2),HLOOKUP(P$6,СГИ!$Q$1:$AJ$2,2)))=1,CONCATENATE("при измерении ",$N22," ",P$6," не допускается ! "),"")</f>
      </c>
      <c r="Q22" s="221">
        <f>IF(IF(ISNA(INDEX(СГИ!$Q$3:$AJ$22,VLOOKUP($N22,СГИ!$O$3:$P$22,2),HLOOKUP(Q$6,СГИ!$Q$1:$AJ$2,2))),"",INDEX(СГИ!$Q$3:$AJ$22,VLOOKUP($N22,СГИ!$O$3:$P$22,2),HLOOKUP(Q$6,СГИ!$Q$1:$AJ$2,2)))=1,CONCATENATE("при измерении ",$N22," ",Q$6," не допускается ! "),"")</f>
      </c>
      <c r="R22" s="221">
        <f>IF(IF(ISNA(INDEX(СГИ!$Q$3:$AJ$22,VLOOKUP($N22,СГИ!$O$3:$P$22,2),HLOOKUP(R$6,СГИ!$Q$1:$AJ$2,2))),"",INDEX(СГИ!$Q$3:$AJ$22,VLOOKUP($N22,СГИ!$O$3:$P$22,2),HLOOKUP(R$6,СГИ!$Q$1:$AJ$2,2)))=1,CONCATENATE("при измерении ",$N22," ",R$6," не допускается ! "),"")</f>
      </c>
      <c r="S22" s="221">
        <f>IF(IF(ISNA(INDEX(СГИ!$Q$3:$AJ$22,VLOOKUP($N22,СГИ!$O$3:$P$22,2),HLOOKUP(S$6,СГИ!$Q$1:$AJ$2,2))),"",INDEX(СГИ!$Q$3:$AJ$22,VLOOKUP($N22,СГИ!$O$3:$P$22,2),HLOOKUP(S$6,СГИ!$Q$1:$AJ$2,2)))=1,CONCATENATE("при измерении ",$N22," ",S$6," не допускается ! "),"")</f>
      </c>
      <c r="T22" s="221">
        <f>IF(IF(ISNA(INDEX(СГИ!$Q$3:$AJ$22,VLOOKUP($N22,СГИ!$O$3:$P$22,2),HLOOKUP(T$6,СГИ!$Q$1:$AJ$2,2))),"",INDEX(СГИ!$Q$3:$AJ$22,VLOOKUP($N22,СГИ!$O$3:$P$22,2),HLOOKUP(T$6,СГИ!$Q$1:$AJ$2,2)))=1,CONCATENATE("при измерении ",$N22," ",T$6," не допускается ! "),"")</f>
      </c>
      <c r="U22" s="221">
        <f>IF(IF(ISNA(INDEX(СГИ!$Q$3:$AJ$22,VLOOKUP($N22,СГИ!$O$3:$P$22,2),HLOOKUP(U$6,СГИ!$Q$1:$AJ$2,2))),"",INDEX(СГИ!$Q$3:$AJ$22,VLOOKUP($N22,СГИ!$O$3:$P$22,2),HLOOKUP(U$6,СГИ!$Q$1:$AJ$2,2)))=1,CONCATENATE("при измерении ",$N22," ",U$6," не допускается ! "),"")</f>
      </c>
      <c r="V22" s="221">
        <f>IF(IF(ISNA(INDEX(СГИ!$Q$3:$AJ$22,VLOOKUP($N22,СГИ!$O$3:$P$22,2),HLOOKUP(V$6,СГИ!$Q$1:$AJ$2,2))),"",INDEX(СГИ!$Q$3:$AJ$22,VLOOKUP($N22,СГИ!$O$3:$P$22,2),HLOOKUP(V$6,СГИ!$Q$1:$AJ$2,2)))=1,CONCATENATE("при измерении ",$N22," ",V$6," не допускается ! "),"")</f>
      </c>
      <c r="W22" s="221">
        <f>IF(IF(ISNA(INDEX(СГИ!$Q$3:$AJ$22,VLOOKUP($N22,СГИ!$O$3:$P$22,2),HLOOKUP(W$6,СГИ!$Q$1:$AJ$2,2))),"",INDEX(СГИ!$Q$3:$AJ$22,VLOOKUP($N22,СГИ!$O$3:$P$22,2),HLOOKUP(W$6,СГИ!$Q$1:$AJ$2,2)))=1,CONCATENATE("при измерении ",$N22," ",W$6," не допускается ! "),"")</f>
      </c>
      <c r="X22" s="221">
        <f>IF(IF(ISNA(INDEX(СГИ!$Q$3:$AJ$22,VLOOKUP($N22,СГИ!$O$3:$P$22,2),HLOOKUP(X$6,СГИ!$Q$1:$AJ$2,2))),"",INDEX(СГИ!$Q$3:$AJ$22,VLOOKUP($N22,СГИ!$O$3:$P$22,2),HLOOKUP(X$6,СГИ!$Q$1:$AJ$2,2)))=1,CONCATENATE("при измерении ",$N22," ",X$6," не допускается ! "),"")</f>
      </c>
      <c r="Y22" s="221">
        <f>IF(IF(ISNA(INDEX(СГИ!$Q$3:$AJ$22,VLOOKUP($N22,СГИ!$O$3:$P$22,2),HLOOKUP(Y$6,СГИ!$Q$1:$AJ$2,2))),"",INDEX(СГИ!$Q$3:$AJ$22,VLOOKUP($N22,СГИ!$O$3:$P$22,2),HLOOKUP(Y$6,СГИ!$Q$1:$AJ$2,2)))=1,CONCATENATE("при измерении ",$N22," ",Y$6," не допускается ! "),"")</f>
      </c>
      <c r="Z22" s="221">
        <f>IF(IF(ISNA(INDEX(СГИ!$Q$3:$AJ$22,VLOOKUP($N22,СГИ!$O$3:$P$22,2),HLOOKUP(Z$6,СГИ!$Q$1:$AJ$2,2))),"",INDEX(СГИ!$Q$3:$AJ$22,VLOOKUP($N22,СГИ!$O$3:$P$22,2),HLOOKUP(Z$6,СГИ!$Q$1:$AJ$2,2)))=1,CONCATENATE("при измерении ",$N22," ",Z$6," не допускается ! "),"")</f>
      </c>
      <c r="AA22" s="221">
        <f>IF(IF(ISNA(INDEX(СГИ!$Q$3:$AJ$22,VLOOKUP($N22,СГИ!$O$3:$P$22,2),HLOOKUP(AA$6,СГИ!$Q$1:$AJ$2,2))),"",INDEX(СГИ!$Q$3:$AJ$22,VLOOKUP($N22,СГИ!$O$3:$P$22,2),HLOOKUP(AA$6,СГИ!$Q$1:$AJ$2,2)))=1,CONCATENATE("при измерении ",$N22," ",AA$6," не допускается ! "),"")</f>
      </c>
      <c r="AB22" s="221">
        <f>IF(IF(ISNA(INDEX(СГИ!$Q$3:$AJ$22,VLOOKUP($N22,СГИ!$O$3:$P$22,2),HLOOKUP(AB$6,СГИ!$Q$1:$AJ$2,2))),"",INDEX(СГИ!$Q$3:$AJ$22,VLOOKUP($N22,СГИ!$O$3:$P$22,2),HLOOKUP(AB$6,СГИ!$Q$1:$AJ$2,2)))=1,CONCATENATE("при измерении ",$N22," ",AB$6," не допускается ! "),"")</f>
      </c>
      <c r="AC22" s="221">
        <f>IF(IF(ISNA(INDEX(СГИ!$Q$3:$AJ$22,VLOOKUP($N22,СГИ!$O$3:$P$22,2),HLOOKUP(AC$6,СГИ!$Q$1:$AJ$2,2))),"",INDEX(СГИ!$Q$3:$AJ$22,VLOOKUP($N22,СГИ!$O$3:$P$22,2),HLOOKUP(AC$6,СГИ!$Q$1:$AJ$2,2)))=1,CONCATENATE("при измерении ",$N22," ",AC$6," не допускается ! "),"")</f>
      </c>
      <c r="AD22" s="221">
        <f>IF(IF(ISNA(INDEX(СГИ!$Q$3:$AJ$22,VLOOKUP($N22,СГИ!$O$3:$P$22,2),HLOOKUP(AD$6,СГИ!$Q$1:$AJ$2,2))),"",INDEX(СГИ!$Q$3:$AJ$22,VLOOKUP($N22,СГИ!$O$3:$P$22,2),HLOOKUP(AD$6,СГИ!$Q$1:$AJ$2,2)))=1,CONCATENATE("при измерении ",$N22," ",AD$6," не допускается ! "),"")</f>
      </c>
      <c r="AE22" s="221">
        <f>IF(IF(ISNA(INDEX(СГИ!$Q$3:$AJ$22,VLOOKUP($N22,СГИ!$O$3:$P$22,2),HLOOKUP(AE$6,СГИ!$Q$1:$AJ$2,2))),"",INDEX(СГИ!$Q$3:$AJ$22,VLOOKUP($N22,СГИ!$O$3:$P$22,2),HLOOKUP(AE$6,СГИ!$Q$1:$AJ$2,2)))=1,CONCATENATE("при измерении ",$N22," ",AE$6," не допускается ! "),"")</f>
      </c>
      <c r="AF22" s="257">
        <f>IF(IF(ISNA(INDEX(СГИ!$Q$3:$AJ$22,VLOOKUP($N22,СГИ!$O$3:$P$22,2),HLOOKUP(AF$6,СГИ!$Q$1:$AJ$2,2))),"",INDEX(СГИ!$Q$3:$AJ$22,VLOOKUP($N22,СГИ!$O$3:$P$22,2),HLOOKUP(AF$6,СГИ!$Q$1:$AJ$2,2)))=1,CONCATENATE("при измерении ",$N22," ",AF$6," не допускается ! "),"")</f>
      </c>
      <c r="AG22">
        <f t="shared" si="2"/>
      </c>
    </row>
    <row r="23" spans="1:33" ht="15.75" customHeight="1" thickBot="1">
      <c r="A23" s="524"/>
      <c r="B23" s="526" t="s">
        <v>806</v>
      </c>
      <c r="C23" s="525"/>
      <c r="D23" s="527" t="str">
        <f>IF(SUM(C$7:C$21)&gt;4,"&lt;- сумма не должна быть более 4",IF(OR(C23=2,C23=3,C23=4,AND(C$11&gt;0,C23&gt;0)),"&lt;- уменьшите количество каналов",IF(OR(SUM(C$7:C$21)=4,AND(C$11=1,I$31=1)),"&lt;- дальнейший ввод невозможен",IF(C23=1,"","&lt;- введите данные, если необходимо"))))</f>
        <v>&lt;- введите данные, если необходимо</v>
      </c>
      <c r="F23" s="1087"/>
      <c r="G23" s="1088"/>
      <c r="H23" s="554">
        <f t="shared" si="0"/>
      </c>
      <c r="I23" s="511">
        <f t="shared" si="1"/>
        <v>0</v>
      </c>
      <c r="N23" s="220">
        <f t="shared" si="4"/>
      </c>
      <c r="O23" s="221">
        <f>IF(IF(ISNA(INDEX(СГИ!$Q$3:$AJ$22,VLOOKUP($N23,СГИ!$O$3:$P$22,2),HLOOKUP(O$6,СГИ!$Q$1:$AJ$2,2))),"",INDEX(СГИ!$Q$3:$AJ$22,VLOOKUP($N23,СГИ!$O$3:$P$22,2),HLOOKUP(O$6,СГИ!$Q$1:$AJ$2,2)))=1,CONCATENATE("при измерении ",$N23," ",O$6," не допускается ! "),"")</f>
      </c>
      <c r="P23" s="221">
        <f>IF(IF(ISNA(INDEX(СГИ!$Q$3:$AJ$22,VLOOKUP($N23,СГИ!$O$3:$P$22,2),HLOOKUP(P$6,СГИ!$Q$1:$AJ$2,2))),"",INDEX(СГИ!$Q$3:$AJ$22,VLOOKUP($N23,СГИ!$O$3:$P$22,2),HLOOKUP(P$6,СГИ!$Q$1:$AJ$2,2)))=1,CONCATENATE("при измерении ",$N23," ",P$6," не допускается ! "),"")</f>
      </c>
      <c r="Q23" s="221">
        <f>IF(IF(ISNA(INDEX(СГИ!$Q$3:$AJ$22,VLOOKUP($N23,СГИ!$O$3:$P$22,2),HLOOKUP(Q$6,СГИ!$Q$1:$AJ$2,2))),"",INDEX(СГИ!$Q$3:$AJ$22,VLOOKUP($N23,СГИ!$O$3:$P$22,2),HLOOKUP(Q$6,СГИ!$Q$1:$AJ$2,2)))=1,CONCATENATE("при измерении ",$N23," ",Q$6," не допускается ! "),"")</f>
      </c>
      <c r="R23" s="221">
        <f>IF(IF(ISNA(INDEX(СГИ!$Q$3:$AJ$22,VLOOKUP($N23,СГИ!$O$3:$P$22,2),HLOOKUP(R$6,СГИ!$Q$1:$AJ$2,2))),"",INDEX(СГИ!$Q$3:$AJ$22,VLOOKUP($N23,СГИ!$O$3:$P$22,2),HLOOKUP(R$6,СГИ!$Q$1:$AJ$2,2)))=1,CONCATENATE("при измерении ",$N23," ",R$6," не допускается ! "),"")</f>
      </c>
      <c r="S23" s="221">
        <f>IF(IF(ISNA(INDEX(СГИ!$Q$3:$AJ$22,VLOOKUP($N23,СГИ!$O$3:$P$22,2),HLOOKUP(S$6,СГИ!$Q$1:$AJ$2,2))),"",INDEX(СГИ!$Q$3:$AJ$22,VLOOKUP($N23,СГИ!$O$3:$P$22,2),HLOOKUP(S$6,СГИ!$Q$1:$AJ$2,2)))=1,CONCATENATE("при измерении ",$N23," ",S$6," не допускается ! "),"")</f>
      </c>
      <c r="T23" s="221">
        <f>IF(IF(ISNA(INDEX(СГИ!$Q$3:$AJ$22,VLOOKUP($N23,СГИ!$O$3:$P$22,2),HLOOKUP(T$6,СГИ!$Q$1:$AJ$2,2))),"",INDEX(СГИ!$Q$3:$AJ$22,VLOOKUP($N23,СГИ!$O$3:$P$22,2),HLOOKUP(T$6,СГИ!$Q$1:$AJ$2,2)))=1,CONCATENATE("при измерении ",$N23," ",T$6," не допускается ! "),"")</f>
      </c>
      <c r="U23" s="221">
        <f>IF(IF(ISNA(INDEX(СГИ!$Q$3:$AJ$22,VLOOKUP($N23,СГИ!$O$3:$P$22,2),HLOOKUP(U$6,СГИ!$Q$1:$AJ$2,2))),"",INDEX(СГИ!$Q$3:$AJ$22,VLOOKUP($N23,СГИ!$O$3:$P$22,2),HLOOKUP(U$6,СГИ!$Q$1:$AJ$2,2)))=1,CONCATENATE("при измерении ",$N23," ",U$6," не допускается ! "),"")</f>
      </c>
      <c r="V23" s="221">
        <f>IF(IF(ISNA(INDEX(СГИ!$Q$3:$AJ$22,VLOOKUP($N23,СГИ!$O$3:$P$22,2),HLOOKUP(V$6,СГИ!$Q$1:$AJ$2,2))),"",INDEX(СГИ!$Q$3:$AJ$22,VLOOKUP($N23,СГИ!$O$3:$P$22,2),HLOOKUP(V$6,СГИ!$Q$1:$AJ$2,2)))=1,CONCATENATE("при измерении ",$N23," ",V$6," не допускается ! "),"")</f>
      </c>
      <c r="W23" s="221">
        <f>IF(IF(ISNA(INDEX(СГИ!$Q$3:$AJ$22,VLOOKUP($N23,СГИ!$O$3:$P$22,2),HLOOKUP(W$6,СГИ!$Q$1:$AJ$2,2))),"",INDEX(СГИ!$Q$3:$AJ$22,VLOOKUP($N23,СГИ!$O$3:$P$22,2),HLOOKUP(W$6,СГИ!$Q$1:$AJ$2,2)))=1,CONCATENATE("при измерении ",$N23," ",W$6," не допускается ! "),"")</f>
      </c>
      <c r="X23" s="221">
        <f>IF(IF(ISNA(INDEX(СГИ!$Q$3:$AJ$22,VLOOKUP($N23,СГИ!$O$3:$P$22,2),HLOOKUP(X$6,СГИ!$Q$1:$AJ$2,2))),"",INDEX(СГИ!$Q$3:$AJ$22,VLOOKUP($N23,СГИ!$O$3:$P$22,2),HLOOKUP(X$6,СГИ!$Q$1:$AJ$2,2)))=1,CONCATENATE("при измерении ",$N23," ",X$6," не допускается ! "),"")</f>
      </c>
      <c r="Y23" s="221">
        <f>IF(IF(ISNA(INDEX(СГИ!$Q$3:$AJ$22,VLOOKUP($N23,СГИ!$O$3:$P$22,2),HLOOKUP(Y$6,СГИ!$Q$1:$AJ$2,2))),"",INDEX(СГИ!$Q$3:$AJ$22,VLOOKUP($N23,СГИ!$O$3:$P$22,2),HLOOKUP(Y$6,СГИ!$Q$1:$AJ$2,2)))=1,CONCATENATE("при измерении ",$N23," ",Y$6," не допускается ! "),"")</f>
      </c>
      <c r="Z23" s="221">
        <f>IF(IF(ISNA(INDEX(СГИ!$Q$3:$AJ$22,VLOOKUP($N23,СГИ!$O$3:$P$22,2),HLOOKUP(Z$6,СГИ!$Q$1:$AJ$2,2))),"",INDEX(СГИ!$Q$3:$AJ$22,VLOOKUP($N23,СГИ!$O$3:$P$22,2),HLOOKUP(Z$6,СГИ!$Q$1:$AJ$2,2)))=1,CONCATENATE("при измерении ",$N23," ",Z$6," не допускается ! "),"")</f>
      </c>
      <c r="AA23" s="221">
        <f>IF(IF(ISNA(INDEX(СГИ!$Q$3:$AJ$22,VLOOKUP($N23,СГИ!$O$3:$P$22,2),HLOOKUP(AA$6,СГИ!$Q$1:$AJ$2,2))),"",INDEX(СГИ!$Q$3:$AJ$22,VLOOKUP($N23,СГИ!$O$3:$P$22,2),HLOOKUP(AA$6,СГИ!$Q$1:$AJ$2,2)))=1,CONCATENATE("при измерении ",$N23," ",AA$6," не допускается ! "),"")</f>
      </c>
      <c r="AB23" s="221">
        <f>IF(IF(ISNA(INDEX(СГИ!$Q$3:$AJ$22,VLOOKUP($N23,СГИ!$O$3:$P$22,2),HLOOKUP(AB$6,СГИ!$Q$1:$AJ$2,2))),"",INDEX(СГИ!$Q$3:$AJ$22,VLOOKUP($N23,СГИ!$O$3:$P$22,2),HLOOKUP(AB$6,СГИ!$Q$1:$AJ$2,2)))=1,CONCATENATE("при измерении ",$N23," ",AB$6," не допускается ! "),"")</f>
      </c>
      <c r="AC23" s="221">
        <f>IF(IF(ISNA(INDEX(СГИ!$Q$3:$AJ$22,VLOOKUP($N23,СГИ!$O$3:$P$22,2),HLOOKUP(AC$6,СГИ!$Q$1:$AJ$2,2))),"",INDEX(СГИ!$Q$3:$AJ$22,VLOOKUP($N23,СГИ!$O$3:$P$22,2),HLOOKUP(AC$6,СГИ!$Q$1:$AJ$2,2)))=1,CONCATENATE("при измерении ",$N23," ",AC$6," не допускается ! "),"")</f>
      </c>
      <c r="AD23" s="221">
        <f>IF(IF(ISNA(INDEX(СГИ!$Q$3:$AJ$22,VLOOKUP($N23,СГИ!$O$3:$P$22,2),HLOOKUP(AD$6,СГИ!$Q$1:$AJ$2,2))),"",INDEX(СГИ!$Q$3:$AJ$22,VLOOKUP($N23,СГИ!$O$3:$P$22,2),HLOOKUP(AD$6,СГИ!$Q$1:$AJ$2,2)))=1,CONCATENATE("при измерении ",$N23," ",AD$6," не допускается ! "),"")</f>
      </c>
      <c r="AE23" s="221">
        <f>IF(IF(ISNA(INDEX(СГИ!$Q$3:$AJ$22,VLOOKUP($N23,СГИ!$O$3:$P$22,2),HLOOKUP(AE$6,СГИ!$Q$1:$AJ$2,2))),"",INDEX(СГИ!$Q$3:$AJ$22,VLOOKUP($N23,СГИ!$O$3:$P$22,2),HLOOKUP(AE$6,СГИ!$Q$1:$AJ$2,2)))=1,CONCATENATE("при измерении ",$N23," ",AE$6," не допускается ! "),"")</f>
      </c>
      <c r="AF23" s="257">
        <f>IF(IF(ISNA(INDEX(СГИ!$Q$3:$AJ$22,VLOOKUP($N23,СГИ!$O$3:$P$22,2),HLOOKUP(AF$6,СГИ!$Q$1:$AJ$2,2))),"",INDEX(СГИ!$Q$3:$AJ$22,VLOOKUP($N23,СГИ!$O$3:$P$22,2),HLOOKUP(AF$6,СГИ!$Q$1:$AJ$2,2)))=1,CONCATENATE("при измерении ",$N23," ",AF$6," не допускается ! "),"")</f>
      </c>
      <c r="AG23">
        <f t="shared" si="2"/>
      </c>
    </row>
    <row r="24" spans="8:33" ht="7.5" customHeight="1">
      <c r="H24" s="531"/>
      <c r="I24" s="535"/>
      <c r="N24" s="220">
        <f t="shared" si="4"/>
      </c>
      <c r="O24" s="221">
        <f>IF(IF(ISNA(INDEX(СГИ!$Q$3:$AJ$22,VLOOKUP($N24,СГИ!$O$3:$P$22,2),HLOOKUP(O$6,СГИ!$Q$1:$AJ$2,2))),"",INDEX(СГИ!$Q$3:$AJ$22,VLOOKUP($N24,СГИ!$O$3:$P$22,2),HLOOKUP(O$6,СГИ!$Q$1:$AJ$2,2)))=1,CONCATENATE("при измерении ",$N24," ",O$6," не допускается ! "),"")</f>
      </c>
      <c r="P24" s="221">
        <f>IF(IF(ISNA(INDEX(СГИ!$Q$3:$AJ$22,VLOOKUP($N24,СГИ!$O$3:$P$22,2),HLOOKUP(P$6,СГИ!$Q$1:$AJ$2,2))),"",INDEX(СГИ!$Q$3:$AJ$22,VLOOKUP($N24,СГИ!$O$3:$P$22,2),HLOOKUP(P$6,СГИ!$Q$1:$AJ$2,2)))=1,CONCATENATE("при измерении ",$N24," ",P$6," не допускается ! "),"")</f>
      </c>
      <c r="Q24" s="221">
        <f>IF(IF(ISNA(INDEX(СГИ!$Q$3:$AJ$22,VLOOKUP($N24,СГИ!$O$3:$P$22,2),HLOOKUP(Q$6,СГИ!$Q$1:$AJ$2,2))),"",INDEX(СГИ!$Q$3:$AJ$22,VLOOKUP($N24,СГИ!$O$3:$P$22,2),HLOOKUP(Q$6,СГИ!$Q$1:$AJ$2,2)))=1,CONCATENATE("при измерении ",$N24," ",Q$6," не допускается ! "),"")</f>
      </c>
      <c r="R24" s="221">
        <f>IF(IF(ISNA(INDEX(СГИ!$Q$3:$AJ$22,VLOOKUP($N24,СГИ!$O$3:$P$22,2),HLOOKUP(R$6,СГИ!$Q$1:$AJ$2,2))),"",INDEX(СГИ!$Q$3:$AJ$22,VLOOKUP($N24,СГИ!$O$3:$P$22,2),HLOOKUP(R$6,СГИ!$Q$1:$AJ$2,2)))=1,CONCATENATE("при измерении ",$N24," ",R$6," не допускается ! "),"")</f>
      </c>
      <c r="S24" s="221">
        <f>IF(IF(ISNA(INDEX(СГИ!$Q$3:$AJ$22,VLOOKUP($N24,СГИ!$O$3:$P$22,2),HLOOKUP(S$6,СГИ!$Q$1:$AJ$2,2))),"",INDEX(СГИ!$Q$3:$AJ$22,VLOOKUP($N24,СГИ!$O$3:$P$22,2),HLOOKUP(S$6,СГИ!$Q$1:$AJ$2,2)))=1,CONCATENATE("при измерении ",$N24," ",S$6," не допускается ! "),"")</f>
      </c>
      <c r="T24" s="221">
        <f>IF(IF(ISNA(INDEX(СГИ!$Q$3:$AJ$22,VLOOKUP($N24,СГИ!$O$3:$P$22,2),HLOOKUP(T$6,СГИ!$Q$1:$AJ$2,2))),"",INDEX(СГИ!$Q$3:$AJ$22,VLOOKUP($N24,СГИ!$O$3:$P$22,2),HLOOKUP(T$6,СГИ!$Q$1:$AJ$2,2)))=1,CONCATENATE("при измерении ",$N24," ",T$6," не допускается ! "),"")</f>
      </c>
      <c r="U24" s="221">
        <f>IF(IF(ISNA(INDEX(СГИ!$Q$3:$AJ$22,VLOOKUP($N24,СГИ!$O$3:$P$22,2),HLOOKUP(U$6,СГИ!$Q$1:$AJ$2,2))),"",INDEX(СГИ!$Q$3:$AJ$22,VLOOKUP($N24,СГИ!$O$3:$P$22,2),HLOOKUP(U$6,СГИ!$Q$1:$AJ$2,2)))=1,CONCATENATE("при измерении ",$N24," ",U$6," не допускается ! "),"")</f>
      </c>
      <c r="V24" s="221">
        <f>IF(IF(ISNA(INDEX(СГИ!$Q$3:$AJ$22,VLOOKUP($N24,СГИ!$O$3:$P$22,2),HLOOKUP(V$6,СГИ!$Q$1:$AJ$2,2))),"",INDEX(СГИ!$Q$3:$AJ$22,VLOOKUP($N24,СГИ!$O$3:$P$22,2),HLOOKUP(V$6,СГИ!$Q$1:$AJ$2,2)))=1,CONCATENATE("при измерении ",$N24," ",V$6," не допускается ! "),"")</f>
      </c>
      <c r="W24" s="221">
        <f>IF(IF(ISNA(INDEX(СГИ!$Q$3:$AJ$22,VLOOKUP($N24,СГИ!$O$3:$P$22,2),HLOOKUP(W$6,СГИ!$Q$1:$AJ$2,2))),"",INDEX(СГИ!$Q$3:$AJ$22,VLOOKUP($N24,СГИ!$O$3:$P$22,2),HLOOKUP(W$6,СГИ!$Q$1:$AJ$2,2)))=1,CONCATENATE("при измерении ",$N24," ",W$6," не допускается ! "),"")</f>
      </c>
      <c r="X24" s="221">
        <f>IF(IF(ISNA(INDEX(СГИ!$Q$3:$AJ$22,VLOOKUP($N24,СГИ!$O$3:$P$22,2),HLOOKUP(X$6,СГИ!$Q$1:$AJ$2,2))),"",INDEX(СГИ!$Q$3:$AJ$22,VLOOKUP($N24,СГИ!$O$3:$P$22,2),HLOOKUP(X$6,СГИ!$Q$1:$AJ$2,2)))=1,CONCATENATE("при измерении ",$N24," ",X$6," не допускается ! "),"")</f>
      </c>
      <c r="Y24" s="221">
        <f>IF(IF(ISNA(INDEX(СГИ!$Q$3:$AJ$22,VLOOKUP($N24,СГИ!$O$3:$P$22,2),HLOOKUP(Y$6,СГИ!$Q$1:$AJ$2,2))),"",INDEX(СГИ!$Q$3:$AJ$22,VLOOKUP($N24,СГИ!$O$3:$P$22,2),HLOOKUP(Y$6,СГИ!$Q$1:$AJ$2,2)))=1,CONCATENATE("при измерении ",$N24," ",Y$6," не допускается ! "),"")</f>
      </c>
      <c r="Z24" s="221">
        <f>IF(IF(ISNA(INDEX(СГИ!$Q$3:$AJ$22,VLOOKUP($N24,СГИ!$O$3:$P$22,2),HLOOKUP(Z$6,СГИ!$Q$1:$AJ$2,2))),"",INDEX(СГИ!$Q$3:$AJ$22,VLOOKUP($N24,СГИ!$O$3:$P$22,2),HLOOKUP(Z$6,СГИ!$Q$1:$AJ$2,2)))=1,CONCATENATE("при измерении ",$N24," ",Z$6," не допускается ! "),"")</f>
      </c>
      <c r="AA24" s="221">
        <f>IF(IF(ISNA(INDEX(СГИ!$Q$3:$AJ$22,VLOOKUP($N24,СГИ!$O$3:$P$22,2),HLOOKUP(AA$6,СГИ!$Q$1:$AJ$2,2))),"",INDEX(СГИ!$Q$3:$AJ$22,VLOOKUP($N24,СГИ!$O$3:$P$22,2),HLOOKUP(AA$6,СГИ!$Q$1:$AJ$2,2)))=1,CONCATENATE("при измерении ",$N24," ",AA$6," не допускается ! "),"")</f>
      </c>
      <c r="AB24" s="221">
        <f>IF(IF(ISNA(INDEX(СГИ!$Q$3:$AJ$22,VLOOKUP($N24,СГИ!$O$3:$P$22,2),HLOOKUP(AB$6,СГИ!$Q$1:$AJ$2,2))),"",INDEX(СГИ!$Q$3:$AJ$22,VLOOKUP($N24,СГИ!$O$3:$P$22,2),HLOOKUP(AB$6,СГИ!$Q$1:$AJ$2,2)))=1,CONCATENATE("при измерении ",$N24," ",AB$6," не допускается ! "),"")</f>
      </c>
      <c r="AC24" s="221">
        <f>IF(IF(ISNA(INDEX(СГИ!$Q$3:$AJ$22,VLOOKUP($N24,СГИ!$O$3:$P$22,2),HLOOKUP(AC$6,СГИ!$Q$1:$AJ$2,2))),"",INDEX(СГИ!$Q$3:$AJ$22,VLOOKUP($N24,СГИ!$O$3:$P$22,2),HLOOKUP(AC$6,СГИ!$Q$1:$AJ$2,2)))=1,CONCATENATE("при измерении ",$N24," ",AC$6," не допускается ! "),"")</f>
      </c>
      <c r="AD24" s="221">
        <f>IF(IF(ISNA(INDEX(СГИ!$Q$3:$AJ$22,VLOOKUP($N24,СГИ!$O$3:$P$22,2),HLOOKUP(AD$6,СГИ!$Q$1:$AJ$2,2))),"",INDEX(СГИ!$Q$3:$AJ$22,VLOOKUP($N24,СГИ!$O$3:$P$22,2),HLOOKUP(AD$6,СГИ!$Q$1:$AJ$2,2)))=1,CONCATENATE("при измерении ",$N24," ",AD$6," не допускается ! "),"")</f>
      </c>
      <c r="AE24" s="221">
        <f>IF(IF(ISNA(INDEX(СГИ!$Q$3:$AJ$22,VLOOKUP($N24,СГИ!$O$3:$P$22,2),HLOOKUP(AE$6,СГИ!$Q$1:$AJ$2,2))),"",INDEX(СГИ!$Q$3:$AJ$22,VLOOKUP($N24,СГИ!$O$3:$P$22,2),HLOOKUP(AE$6,СГИ!$Q$1:$AJ$2,2)))=1,CONCATENATE("при измерении ",$N24," ",AE$6," не допускается ! "),"")</f>
      </c>
      <c r="AF24" s="257">
        <f>IF(IF(ISNA(INDEX(СГИ!$Q$3:$AJ$22,VLOOKUP($N24,СГИ!$O$3:$P$22,2),HLOOKUP(AF$6,СГИ!$Q$1:$AJ$2,2))),"",INDEX(СГИ!$Q$3:$AJ$22,VLOOKUP($N24,СГИ!$O$3:$P$22,2),HLOOKUP(AF$6,СГИ!$Q$1:$AJ$2,2)))=1,CONCATENATE("при измерении ",$N24," ",AF$6," не допускается ! "),"")</f>
      </c>
      <c r="AG24">
        <f t="shared" si="2"/>
      </c>
    </row>
    <row r="25" spans="1:33" ht="21.75" customHeight="1" hidden="1" thickBot="1">
      <c r="A25" s="1" t="s">
        <v>316</v>
      </c>
      <c r="B25" s="1" t="s">
        <v>316</v>
      </c>
      <c r="H25" s="531"/>
      <c r="I25" s="535"/>
      <c r="N25" s="271">
        <f t="shared" si="4"/>
      </c>
      <c r="O25" s="272">
        <f>IF(IF(ISNA(INDEX(СГИ!$Q$3:$AJ$22,VLOOKUP($N25,СГИ!$O$3:$P$22,2),HLOOKUP(O$6,СГИ!$Q$1:$AJ$2,2))),"",INDEX(СГИ!$Q$3:$AJ$22,VLOOKUP($N25,СГИ!$O$3:$P$22,2),HLOOKUP(O$6,СГИ!$Q$1:$AJ$2,2)))=1,CONCATENATE("при измерении ",$N25," ",O$6," не допускается ! "),"")</f>
      </c>
      <c r="P25" s="272">
        <f>IF(IF(ISNA(INDEX(СГИ!$Q$3:$AJ$22,VLOOKUP($N25,СГИ!$O$3:$P$22,2),HLOOKUP(P$6,СГИ!$Q$1:$AJ$2,2))),"",INDEX(СГИ!$Q$3:$AJ$22,VLOOKUP($N25,СГИ!$O$3:$P$22,2),HLOOKUP(P$6,СГИ!$Q$1:$AJ$2,2)))=1,CONCATENATE("при измерении ",$N25," ",P$6," не допускается ! "),"")</f>
      </c>
      <c r="Q25" s="272">
        <f>IF(IF(ISNA(INDEX(СГИ!$Q$3:$AJ$22,VLOOKUP($N25,СГИ!$O$3:$P$22,2),HLOOKUP(Q$6,СГИ!$Q$1:$AJ$2,2))),"",INDEX(СГИ!$Q$3:$AJ$22,VLOOKUP($N25,СГИ!$O$3:$P$22,2),HLOOKUP(Q$6,СГИ!$Q$1:$AJ$2,2)))=1,CONCATENATE("при измерении ",$N25," ",Q$6," не допускается ! "),"")</f>
      </c>
      <c r="R25" s="272">
        <f>IF(IF(ISNA(INDEX(СГИ!$Q$3:$AJ$22,VLOOKUP($N25,СГИ!$O$3:$P$22,2),HLOOKUP(R$6,СГИ!$Q$1:$AJ$2,2))),"",INDEX(СГИ!$Q$3:$AJ$22,VLOOKUP($N25,СГИ!$O$3:$P$22,2),HLOOKUP(R$6,СГИ!$Q$1:$AJ$2,2)))=1,CONCATENATE("при измерении ",$N25," ",R$6," не допускается ! "),"")</f>
      </c>
      <c r="S25" s="272">
        <f>IF(IF(ISNA(INDEX(СГИ!$Q$3:$AJ$22,VLOOKUP($N25,СГИ!$O$3:$P$22,2),HLOOKUP(S$6,СГИ!$Q$1:$AJ$2,2))),"",INDEX(СГИ!$Q$3:$AJ$22,VLOOKUP($N25,СГИ!$O$3:$P$22,2),HLOOKUP(S$6,СГИ!$Q$1:$AJ$2,2)))=1,CONCATENATE("при измерении ",$N25," ",S$6," не допускается ! "),"")</f>
      </c>
      <c r="T25" s="272">
        <f>IF(IF(ISNA(INDEX(СГИ!$Q$3:$AJ$22,VLOOKUP($N25,СГИ!$O$3:$P$22,2),HLOOKUP(T$6,СГИ!$Q$1:$AJ$2,2))),"",INDEX(СГИ!$Q$3:$AJ$22,VLOOKUP($N25,СГИ!$O$3:$P$22,2),HLOOKUP(T$6,СГИ!$Q$1:$AJ$2,2)))=1,CONCATENATE("при измерении ",$N25," ",T$6," не допускается ! "),"")</f>
      </c>
      <c r="U25" s="272">
        <f>IF(IF(ISNA(INDEX(СГИ!$Q$3:$AJ$22,VLOOKUP($N25,СГИ!$O$3:$P$22,2),HLOOKUP(U$6,СГИ!$Q$1:$AJ$2,2))),"",INDEX(СГИ!$Q$3:$AJ$22,VLOOKUP($N25,СГИ!$O$3:$P$22,2),HLOOKUP(U$6,СГИ!$Q$1:$AJ$2,2)))=1,CONCATENATE("при измерении ",$N25," ",U$6," не допускается ! "),"")</f>
      </c>
      <c r="V25" s="272">
        <f>IF(IF(ISNA(INDEX(СГИ!$Q$3:$AJ$22,VLOOKUP($N25,СГИ!$O$3:$P$22,2),HLOOKUP(V$6,СГИ!$Q$1:$AJ$2,2))),"",INDEX(СГИ!$Q$3:$AJ$22,VLOOKUP($N25,СГИ!$O$3:$P$22,2),HLOOKUP(V$6,СГИ!$Q$1:$AJ$2,2)))=1,CONCATENATE("при измерении ",$N25," ",V$6," не допускается ! "),"")</f>
      </c>
      <c r="W25" s="272">
        <f>IF(IF(ISNA(INDEX(СГИ!$Q$3:$AJ$22,VLOOKUP($N25,СГИ!$O$3:$P$22,2),HLOOKUP(W$6,СГИ!$Q$1:$AJ$2,2))),"",INDEX(СГИ!$Q$3:$AJ$22,VLOOKUP($N25,СГИ!$O$3:$P$22,2),HLOOKUP(W$6,СГИ!$Q$1:$AJ$2,2)))=1,CONCATENATE("при измерении ",$N25," ",W$6," не допускается ! "),"")</f>
      </c>
      <c r="X25" s="272">
        <f>IF(IF(ISNA(INDEX(СГИ!$Q$3:$AJ$22,VLOOKUP($N25,СГИ!$O$3:$P$22,2),HLOOKUP(X$6,СГИ!$Q$1:$AJ$2,2))),"",INDEX(СГИ!$Q$3:$AJ$22,VLOOKUP($N25,СГИ!$O$3:$P$22,2),HLOOKUP(X$6,СГИ!$Q$1:$AJ$2,2)))=1,CONCATENATE("при измерении ",$N25," ",X$6," не допускается ! "),"")</f>
      </c>
      <c r="Y25" s="272">
        <f>IF(IF(ISNA(INDEX(СГИ!$Q$3:$AJ$22,VLOOKUP($N25,СГИ!$O$3:$P$22,2),HLOOKUP(Y$6,СГИ!$Q$1:$AJ$2,2))),"",INDEX(СГИ!$Q$3:$AJ$22,VLOOKUP($N25,СГИ!$O$3:$P$22,2),HLOOKUP(Y$6,СГИ!$Q$1:$AJ$2,2)))=1,CONCATENATE("при измерении ",$N25," ",Y$6," не допускается ! "),"")</f>
      </c>
      <c r="Z25" s="272">
        <f>IF(IF(ISNA(INDEX(СГИ!$Q$3:$AJ$22,VLOOKUP($N25,СГИ!$O$3:$P$22,2),HLOOKUP(Z$6,СГИ!$Q$1:$AJ$2,2))),"",INDEX(СГИ!$Q$3:$AJ$22,VLOOKUP($N25,СГИ!$O$3:$P$22,2),HLOOKUP(Z$6,СГИ!$Q$1:$AJ$2,2)))=1,CONCATENATE("при измерении ",$N25," ",Z$6," не допускается ! "),"")</f>
      </c>
      <c r="AA25" s="272">
        <f>IF(IF(ISNA(INDEX(СГИ!$Q$3:$AJ$22,VLOOKUP($N25,СГИ!$O$3:$P$22,2),HLOOKUP(AA$6,СГИ!$Q$1:$AJ$2,2))),"",INDEX(СГИ!$Q$3:$AJ$22,VLOOKUP($N25,СГИ!$O$3:$P$22,2),HLOOKUP(AA$6,СГИ!$Q$1:$AJ$2,2)))=1,CONCATENATE("при измерении ",$N25," ",AA$6," не допускается ! "),"")</f>
      </c>
      <c r="AB25" s="272">
        <f>IF(IF(ISNA(INDEX(СГИ!$Q$3:$AJ$22,VLOOKUP($N25,СГИ!$O$3:$P$22,2),HLOOKUP(AB$6,СГИ!$Q$1:$AJ$2,2))),"",INDEX(СГИ!$Q$3:$AJ$22,VLOOKUP($N25,СГИ!$O$3:$P$22,2),HLOOKUP(AB$6,СГИ!$Q$1:$AJ$2,2)))=1,CONCATENATE("при измерении ",$N25," ",AB$6," не допускается ! "),"")</f>
      </c>
      <c r="AC25" s="272">
        <f>IF(IF(ISNA(INDEX(СГИ!$Q$3:$AJ$22,VLOOKUP($N25,СГИ!$O$3:$P$22,2),HLOOKUP(AC$6,СГИ!$Q$1:$AJ$2,2))),"",INDEX(СГИ!$Q$3:$AJ$22,VLOOKUP($N25,СГИ!$O$3:$P$22,2),HLOOKUP(AC$6,СГИ!$Q$1:$AJ$2,2)))=1,CONCATENATE("при измерении ",$N25," ",AC$6," не допускается ! "),"")</f>
      </c>
      <c r="AD25" s="272">
        <f>IF(IF(ISNA(INDEX(СГИ!$Q$3:$AJ$22,VLOOKUP($N25,СГИ!$O$3:$P$22,2),HLOOKUP(AD$6,СГИ!$Q$1:$AJ$2,2))),"",INDEX(СГИ!$Q$3:$AJ$22,VLOOKUP($N25,СГИ!$O$3:$P$22,2),HLOOKUP(AD$6,СГИ!$Q$1:$AJ$2,2)))=1,CONCATENATE("при измерении ",$N25," ",AD$6," не допускается ! "),"")</f>
      </c>
      <c r="AE25" s="272">
        <f>IF(IF(ISNA(INDEX(СГИ!$Q$3:$AJ$22,VLOOKUP($N25,СГИ!$O$3:$P$22,2),HLOOKUP(AE$6,СГИ!$Q$1:$AJ$2,2))),"",INDEX(СГИ!$Q$3:$AJ$22,VLOOKUP($N25,СГИ!$O$3:$P$22,2),HLOOKUP(AE$6,СГИ!$Q$1:$AJ$2,2)))=1,CONCATENATE("при измерении ",$N25," ",AE$6," не допускается ! "),"")</f>
      </c>
      <c r="AF25" s="273">
        <f>IF(IF(ISNA(INDEX(СГИ!$Q$3:$AJ$22,VLOOKUP($N25,СГИ!$O$3:$P$22,2),HLOOKUP(AF$6,СГИ!$Q$1:$AJ$2,2))),"",INDEX(СГИ!$Q$3:$AJ$22,VLOOKUP($N25,СГИ!$O$3:$P$22,2),HLOOKUP(AF$6,СГИ!$Q$1:$AJ$2,2)))=1,CONCATENATE("при измерении ",$N25," ",AF$6," не допускается ! "),"")</f>
      </c>
      <c r="AG25">
        <f t="shared" si="2"/>
      </c>
    </row>
    <row r="26" spans="10:11" ht="28.5" customHeight="1" hidden="1" thickBot="1">
      <c r="J26" s="506">
        <f>IF(I7=1,"92","")</f>
      </c>
      <c r="K26" s="250"/>
    </row>
    <row r="27" spans="10:14" ht="69" customHeight="1" hidden="1" thickBot="1">
      <c r="J27" s="507">
        <f>IF(AND(I29+I13&gt;0,I29+I13&lt;4),"М","")</f>
      </c>
      <c r="L27" s="275">
        <f>IF(I31&gt;3,-2000,IF(I31=3,1000,0))</f>
        <v>0</v>
      </c>
      <c r="N27" s="198" t="s">
        <v>550</v>
      </c>
    </row>
    <row r="28" spans="1:15" s="274" customFormat="1" ht="33" customHeight="1" hidden="1" thickBot="1">
      <c r="A28" s="1"/>
      <c r="B28" s="1"/>
      <c r="C28" s="1"/>
      <c r="D28" s="1"/>
      <c r="E28" s="1"/>
      <c r="F28" s="1"/>
      <c r="G28" s="198"/>
      <c r="J28" s="508">
        <f>IF(I30&gt;0,"Т","")</f>
      </c>
      <c r="L28" s="301">
        <v>0</v>
      </c>
      <c r="M28" s="515"/>
      <c r="N28" s="591" t="s">
        <v>558</v>
      </c>
      <c r="O28" s="592">
        <f>MAX(L7:L23)</f>
        <v>0</v>
      </c>
    </row>
    <row r="29" spans="8:15" ht="21.75" customHeight="1" hidden="1" thickBot="1">
      <c r="H29" s="533" t="s">
        <v>349</v>
      </c>
      <c r="I29" s="534">
        <f>SUM(I8:I13)</f>
        <v>0</v>
      </c>
      <c r="J29" s="532">
        <f>IF(I29-I8-I9-C11&gt;1,"углеводороды не определяются селективно","")</f>
      </c>
      <c r="K29" s="276"/>
      <c r="L29" s="301">
        <v>0.025</v>
      </c>
      <c r="N29" s="591" t="s">
        <v>559</v>
      </c>
      <c r="O29" s="591">
        <f>SUMPRODUCT(I7:I23,ПГ!R$7:R$23)</f>
        <v>0</v>
      </c>
    </row>
    <row r="30" spans="8:15" ht="33" customHeight="1" hidden="1" thickBot="1">
      <c r="H30" s="530" t="s">
        <v>351</v>
      </c>
      <c r="I30" s="532">
        <f>SUM(I14:I23)</f>
        <v>0</v>
      </c>
      <c r="J30" s="934" t="str">
        <f>IF(J29="",IF(I31&gt;0,CONCATENATE("ОКА-",J26,J27,J28,IF(I31=I7,"",H7),IF(I31=I8,", град. по H2",H8),IF(I31=I9,", град. по CH4",H9),IF(I31=I10,", град по CH4, с зондом",H10),IF(I31=I11,", град. по C3H8",H11),IF(I31=I12,", град. по C6H14",H12),H14,H15,H16,H17,H18,H19,H20,H21,H22,H23),"данные не введены"),J29)</f>
        <v>данные не введены</v>
      </c>
      <c r="K30" s="242"/>
      <c r="L30" s="301">
        <v>0.05</v>
      </c>
      <c r="N30" s="591"/>
      <c r="O30" s="591"/>
    </row>
    <row r="31" spans="8:16" ht="33" customHeight="1" hidden="1" thickBot="1">
      <c r="H31" s="229" t="s">
        <v>352</v>
      </c>
      <c r="I31" s="239">
        <f>SUM(I7:I23)</f>
        <v>0</v>
      </c>
      <c r="J31" s="231" t="str">
        <f>IF(I31&gt;5,"(уменьшите число каналов)",IF(I31=0,"(введите необходимые данные)",""))</f>
        <v>(введите необходимые данные)</v>
      </c>
      <c r="K31" s="242"/>
      <c r="L31" s="301">
        <v>0.07</v>
      </c>
      <c r="N31" s="591" t="s">
        <v>560</v>
      </c>
      <c r="O31" s="591">
        <f>IF(I31=3,1500,0)</f>
        <v>0</v>
      </c>
      <c r="P31" s="1">
        <v>1500</v>
      </c>
    </row>
    <row r="32" spans="8:16" ht="90" hidden="1" thickBot="1">
      <c r="H32" s="201"/>
      <c r="K32" s="242"/>
      <c r="L32" s="301">
        <v>0.1</v>
      </c>
      <c r="N32" s="591" t="s">
        <v>562</v>
      </c>
      <c r="O32" s="591">
        <f>IF(I31&gt;3,-2000,0)</f>
        <v>0</v>
      </c>
      <c r="P32" s="1">
        <v>-2000</v>
      </c>
    </row>
    <row r="33" spans="8:16" ht="27" customHeight="1" thickBot="1">
      <c r="H33" s="201"/>
      <c r="I33" s="1082"/>
      <c r="J33" s="1081"/>
      <c r="K33" s="242"/>
      <c r="L33" s="301">
        <v>0.15</v>
      </c>
      <c r="N33" s="591" t="s">
        <v>556</v>
      </c>
      <c r="O33" s="591">
        <f>IF(OR(I31=1,I31=2),0.1*SUM(O28:O32),0)</f>
        <v>0</v>
      </c>
      <c r="P33" s="594">
        <v>0.1</v>
      </c>
    </row>
    <row r="34" spans="1:16" ht="18.75" customHeight="1" thickBot="1">
      <c r="A34" s="292"/>
      <c r="B34" s="292" t="s">
        <v>360</v>
      </c>
      <c r="C34" s="293" t="s">
        <v>353</v>
      </c>
      <c r="D34" s="293" t="s">
        <v>365</v>
      </c>
      <c r="E34" s="294"/>
      <c r="F34" s="458"/>
      <c r="G34" s="198"/>
      <c r="H34" s="201"/>
      <c r="I34" s="1081"/>
      <c r="J34" s="1081"/>
      <c r="K34" s="242"/>
      <c r="L34" s="301">
        <v>0.175</v>
      </c>
      <c r="N34" s="591" t="s">
        <v>557</v>
      </c>
      <c r="O34" s="591">
        <f>IF(AND(I31=1,SUM(C7:C13)+C19=1),0.15*SUM(O28:O32)-O33,0)</f>
        <v>0</v>
      </c>
      <c r="P34" s="594">
        <v>0.05</v>
      </c>
    </row>
    <row r="35" spans="1:15" ht="12.75" customHeight="1" thickBot="1">
      <c r="A35" s="295"/>
      <c r="B35" s="296" t="s">
        <v>323</v>
      </c>
      <c r="C35" s="297" t="s">
        <v>366</v>
      </c>
      <c r="D35" s="298" t="s">
        <v>367</v>
      </c>
      <c r="E35" s="299" t="s">
        <v>368</v>
      </c>
      <c r="G35" s="198"/>
      <c r="H35" s="201"/>
      <c r="I35" s="1081"/>
      <c r="J35" s="1081"/>
      <c r="K35" s="242"/>
      <c r="L35" s="301">
        <v>0.2</v>
      </c>
      <c r="N35" s="591"/>
      <c r="O35" s="591"/>
    </row>
    <row r="36" spans="1:15" ht="15" customHeight="1">
      <c r="A36" s="295"/>
      <c r="B36" s="996" t="s">
        <v>331</v>
      </c>
      <c r="C36" s="213">
        <v>14240</v>
      </c>
      <c r="D36" t="s">
        <v>369</v>
      </c>
      <c r="G36" s="1089" t="s">
        <v>796</v>
      </c>
      <c r="H36" s="963"/>
      <c r="I36" s="1081"/>
      <c r="J36" s="1081"/>
      <c r="K36" s="242"/>
      <c r="L36" s="301"/>
      <c r="N36" s="591"/>
      <c r="O36" s="591"/>
    </row>
    <row r="37" spans="1:15" ht="14.25" customHeight="1">
      <c r="A37" s="295"/>
      <c r="B37" s="997" t="s">
        <v>36</v>
      </c>
      <c r="C37" s="213">
        <f>ROUND(20710*1.05,-1)</f>
        <v>21750</v>
      </c>
      <c r="D37" t="s">
        <v>370</v>
      </c>
      <c r="G37" s="1090"/>
      <c r="H37" s="963"/>
      <c r="I37" s="1081"/>
      <c r="J37" s="1081"/>
      <c r="K37" s="242"/>
      <c r="N37" s="591"/>
      <c r="O37" s="591"/>
    </row>
    <row r="38" spans="1:15" ht="12.75" customHeight="1">
      <c r="A38" s="295"/>
      <c r="B38" s="300" t="s">
        <v>136</v>
      </c>
      <c r="C38" s="213">
        <v>14240</v>
      </c>
      <c r="D38" t="s">
        <v>369</v>
      </c>
      <c r="E38" s="274"/>
      <c r="G38" s="1090"/>
      <c r="H38" s="963"/>
      <c r="K38" s="242"/>
      <c r="N38" s="591" t="s">
        <v>554</v>
      </c>
      <c r="O38" s="591">
        <f>SUM(O28:O37)</f>
        <v>0</v>
      </c>
    </row>
    <row r="39" spans="1:15" ht="14.25" customHeight="1">
      <c r="A39" s="295"/>
      <c r="B39" s="300" t="s">
        <v>341</v>
      </c>
      <c r="C39" s="213">
        <v>14240</v>
      </c>
      <c r="D39" t="s">
        <v>369</v>
      </c>
      <c r="G39" s="1090"/>
      <c r="H39" s="963"/>
      <c r="K39" s="242"/>
      <c r="N39" s="591"/>
      <c r="O39" s="591"/>
    </row>
    <row r="40" spans="1:15" ht="14.25" customHeight="1">
      <c r="A40" s="268"/>
      <c r="B40" s="300" t="s">
        <v>342</v>
      </c>
      <c r="C40" s="213">
        <v>14240</v>
      </c>
      <c r="D40" t="s">
        <v>369</v>
      </c>
      <c r="E40" s="274"/>
      <c r="G40" s="1090"/>
      <c r="H40" s="963"/>
      <c r="K40" s="242"/>
      <c r="N40" s="591"/>
      <c r="O40" s="591"/>
    </row>
    <row r="41" spans="1:11" ht="14.25" customHeight="1">
      <c r="A41" s="268"/>
      <c r="B41" s="300" t="s">
        <v>344</v>
      </c>
      <c r="C41" s="213">
        <v>14240</v>
      </c>
      <c r="D41" t="s">
        <v>369</v>
      </c>
      <c r="E41" s="274"/>
      <c r="G41" s="1090"/>
      <c r="H41" s="963"/>
      <c r="K41" s="242"/>
    </row>
    <row r="42" spans="1:11" ht="14.25" customHeight="1">
      <c r="A42" s="268"/>
      <c r="B42" s="300" t="s">
        <v>345</v>
      </c>
      <c r="C42" s="213">
        <v>14240</v>
      </c>
      <c r="D42" t="s">
        <v>369</v>
      </c>
      <c r="E42" s="274"/>
      <c r="G42" s="1090"/>
      <c r="H42" s="963"/>
      <c r="K42" s="242"/>
    </row>
    <row r="43" spans="1:11" ht="13.5" customHeight="1">
      <c r="A43" s="268"/>
      <c r="B43" s="300" t="s">
        <v>346</v>
      </c>
      <c r="C43" s="213">
        <v>14240</v>
      </c>
      <c r="D43" t="s">
        <v>369</v>
      </c>
      <c r="E43" s="274"/>
      <c r="G43" s="1090"/>
      <c r="H43" s="963"/>
      <c r="K43" s="242"/>
    </row>
    <row r="44" spans="1:11" ht="12.75" customHeight="1" hidden="1">
      <c r="A44" s="268"/>
      <c r="B44" s="992" t="s">
        <v>48</v>
      </c>
      <c r="C44" s="998">
        <v>20360</v>
      </c>
      <c r="D44" s="993" t="s">
        <v>875</v>
      </c>
      <c r="E44" s="994"/>
      <c r="F44" s="995"/>
      <c r="G44" s="1090"/>
      <c r="H44" s="963"/>
      <c r="K44" s="242"/>
    </row>
    <row r="45" spans="1:11" ht="12.75" customHeight="1" hidden="1">
      <c r="A45" s="268"/>
      <c r="B45" s="992" t="s">
        <v>117</v>
      </c>
      <c r="C45" s="998">
        <v>24480</v>
      </c>
      <c r="D45" s="993" t="s">
        <v>875</v>
      </c>
      <c r="E45" s="994"/>
      <c r="F45" s="995"/>
      <c r="G45" s="1090"/>
      <c r="H45" s="963"/>
      <c r="K45" s="242"/>
    </row>
    <row r="46" spans="1:11" ht="15" customHeight="1">
      <c r="A46" s="268"/>
      <c r="B46" s="302" t="s">
        <v>347</v>
      </c>
      <c r="C46" s="213">
        <v>20900</v>
      </c>
      <c r="D46" s="307" t="s">
        <v>370</v>
      </c>
      <c r="E46" s="922"/>
      <c r="G46" s="1091"/>
      <c r="H46" s="963"/>
      <c r="K46" s="242"/>
    </row>
    <row r="47" spans="4:11" ht="12.75">
      <c r="D47" s="198"/>
      <c r="E47" s="198"/>
      <c r="F47" s="198"/>
      <c r="G47" s="198"/>
      <c r="H47" s="201"/>
      <c r="K47" s="242"/>
    </row>
    <row r="48" spans="7:11" ht="12.75">
      <c r="G48" s="198"/>
      <c r="H48" s="201"/>
      <c r="K48" s="242"/>
    </row>
    <row r="49" spans="7:11" ht="12.75">
      <c r="G49" s="198"/>
      <c r="H49" s="201"/>
      <c r="K49" s="242"/>
    </row>
    <row r="50" spans="1:11" ht="12.75">
      <c r="A50" s="274"/>
      <c r="B50" s="274"/>
      <c r="C50" s="274"/>
      <c r="D50" s="274"/>
      <c r="E50" s="274"/>
      <c r="G50" s="198"/>
      <c r="H50" s="201"/>
      <c r="K50" s="242"/>
    </row>
    <row r="51" spans="1:11" ht="12.75">
      <c r="A51" s="274"/>
      <c r="B51" s="274"/>
      <c r="C51" s="274"/>
      <c r="D51" s="274"/>
      <c r="E51" s="274"/>
      <c r="G51" s="198"/>
      <c r="H51" s="201"/>
      <c r="K51" s="242"/>
    </row>
    <row r="52" spans="1:11" ht="12.75">
      <c r="A52" s="274"/>
      <c r="B52" s="274"/>
      <c r="C52" s="274"/>
      <c r="D52" s="274"/>
      <c r="E52" s="274"/>
      <c r="G52" s="198"/>
      <c r="H52" s="201"/>
      <c r="K52" s="242"/>
    </row>
    <row r="53" spans="1:11" ht="12.75">
      <c r="A53" s="274"/>
      <c r="G53" s="198"/>
      <c r="H53" s="201"/>
      <c r="K53" s="242"/>
    </row>
    <row r="54" spans="1:8" ht="33.75" customHeight="1" thickBot="1">
      <c r="A54" s="274"/>
      <c r="G54" s="198"/>
      <c r="H54" s="201"/>
    </row>
    <row r="55" spans="1:12" ht="21.75" customHeight="1" thickBot="1">
      <c r="A55" s="274"/>
      <c r="G55" s="198"/>
      <c r="H55" s="201"/>
      <c r="L55" s="275"/>
    </row>
    <row r="56" spans="1:8" ht="12.75">
      <c r="A56" s="274"/>
      <c r="G56" s="198"/>
      <c r="H56" s="201"/>
    </row>
    <row r="57" spans="1:8" ht="12.75">
      <c r="A57" s="274"/>
      <c r="B57" s="274"/>
      <c r="C57" s="274"/>
      <c r="D57" s="274"/>
      <c r="E57" s="274"/>
      <c r="G57" s="198"/>
      <c r="H57" s="201"/>
    </row>
    <row r="58" spans="1:8" ht="12.75">
      <c r="A58" s="274"/>
      <c r="B58" s="274"/>
      <c r="C58" s="274"/>
      <c r="D58" s="274"/>
      <c r="E58" s="274"/>
      <c r="G58" s="198"/>
      <c r="H58" s="201"/>
    </row>
    <row r="59" spans="1:5" ht="12.75">
      <c r="A59" s="274"/>
      <c r="B59" s="274"/>
      <c r="C59" s="274"/>
      <c r="D59" s="274"/>
      <c r="E59" s="274"/>
    </row>
  </sheetData>
  <sheetProtection selectLockedCells="1" selectUnlockedCells="1"/>
  <mergeCells count="4">
    <mergeCell ref="I1:J5"/>
    <mergeCell ref="I33:J37"/>
    <mergeCell ref="F16:G23"/>
    <mergeCell ref="G36:G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0" sqref="F20"/>
    </sheetView>
  </sheetViews>
  <sheetFormatPr defaultColWidth="9.00390625" defaultRowHeight="12.75"/>
  <sheetData>
    <row r="1" spans="1:4" ht="12.75">
      <c r="A1" s="1010"/>
      <c r="B1" s="1011"/>
      <c r="C1" s="1011"/>
      <c r="D1" s="1012"/>
    </row>
    <row r="2" spans="1:4" ht="12.75">
      <c r="A2" s="1018" t="s">
        <v>889</v>
      </c>
      <c r="B2" s="1019"/>
      <c r="C2" s="1019"/>
      <c r="D2" s="1020"/>
    </row>
    <row r="3" spans="1:4" ht="12.75">
      <c r="A3" s="1013"/>
      <c r="B3" s="579"/>
      <c r="C3" s="579"/>
      <c r="D3" s="886"/>
    </row>
    <row r="4" spans="1:4" ht="12.75">
      <c r="A4" s="1013" t="s">
        <v>890</v>
      </c>
      <c r="B4" s="579"/>
      <c r="C4" s="579"/>
      <c r="D4" s="886"/>
    </row>
    <row r="5" spans="1:4" ht="12.75">
      <c r="A5" s="1013" t="s">
        <v>891</v>
      </c>
      <c r="B5" s="579"/>
      <c r="C5" s="579"/>
      <c r="D5" s="886"/>
    </row>
    <row r="6" spans="1:4" ht="12.75">
      <c r="A6" s="1013" t="s">
        <v>892</v>
      </c>
      <c r="B6" s="579"/>
      <c r="C6" s="579"/>
      <c r="D6" s="886"/>
    </row>
    <row r="7" spans="1:4" ht="12.75">
      <c r="A7" s="1013"/>
      <c r="B7" s="579"/>
      <c r="C7" s="579"/>
      <c r="D7" s="886"/>
    </row>
    <row r="8" spans="1:4" ht="12.75">
      <c r="A8" s="1014" t="s">
        <v>894</v>
      </c>
      <c r="B8" s="579"/>
      <c r="C8" s="579"/>
      <c r="D8" s="886"/>
    </row>
    <row r="9" spans="1:4" ht="12.75">
      <c r="A9" s="1013" t="s">
        <v>893</v>
      </c>
      <c r="B9" s="579" t="s">
        <v>373</v>
      </c>
      <c r="C9" s="579"/>
      <c r="D9" s="886"/>
    </row>
    <row r="10" spans="1:4" ht="12.75">
      <c r="A10" s="1013"/>
      <c r="B10" s="1009">
        <f>IF('И21,И22-стационарные с вын. БД'!P7=1,330*'И21,И22-стационарные с вын. БД'!C26,0)</f>
        <v>0</v>
      </c>
      <c r="C10" s="579"/>
      <c r="D10" s="886"/>
    </row>
    <row r="11" spans="1:4" ht="12.75">
      <c r="A11" s="1013"/>
      <c r="B11" s="579"/>
      <c r="C11" s="579"/>
      <c r="D11" s="886"/>
    </row>
    <row r="12" spans="1:4" ht="12.75">
      <c r="A12" s="1013" t="s">
        <v>895</v>
      </c>
      <c r="B12" s="579" t="s">
        <v>373</v>
      </c>
      <c r="C12" s="579"/>
      <c r="D12" s="886"/>
    </row>
    <row r="13" spans="1:4" ht="12.75">
      <c r="A13" s="1013"/>
      <c r="B13" s="1009">
        <f>IF(AND('И21,И22-стационарные с вын. БД'!P7&gt;=1,'И21,И22-стационарные с вын. БД'!P9&gt;0),270*'И21,И22-стационарные с вын. БД'!C26,IF(AND('И21,И22-стационарные с вын. БД'!P7=0,'И21,И22-стационарные с вын. БД'!P9&gt;=1),600*'И21,И22-стационарные с вын. БД'!C26,0))</f>
        <v>0</v>
      </c>
      <c r="C13" s="579"/>
      <c r="D13" s="886"/>
    </row>
    <row r="14" spans="1:4" ht="12.75">
      <c r="A14" s="1013"/>
      <c r="B14" s="579"/>
      <c r="C14" s="579"/>
      <c r="D14" s="886"/>
    </row>
    <row r="15" spans="1:4" ht="12.75">
      <c r="A15" s="1013" t="s">
        <v>896</v>
      </c>
      <c r="B15" s="579" t="s">
        <v>373</v>
      </c>
      <c r="C15" s="579"/>
      <c r="D15" s="886"/>
    </row>
    <row r="16" spans="1:4" ht="12.75">
      <c r="A16" s="1013"/>
      <c r="B16" s="1009">
        <f>IF('И21,И22-стационарные с вын. БД'!P8=1,IF(AND('И21,И22-стационарные с вын. БД'!P7=0,'И21,И22-стационарные с вын. БД'!P9=0),1700*SUM('И21,И22-стационарные с вын. БД'!M7:M24),IF(AND('И21,И22-стационарные с вын. БД'!P7=0,'И21,И22-стационарные с вын. БД'!P9=1),1100*SUM('И21,И22-стационарные с вын. БД'!M7:M24),IF(AND('И21,И22-стационарные с вын. БД'!P7=1,'И21,И22-стационарные с вын. БД'!P9=0),1370*SUM('И21,И22-стационарные с вын. БД'!M7:M24),B17))),0)</f>
        <v>0</v>
      </c>
      <c r="C16" s="579"/>
      <c r="D16" s="886"/>
    </row>
    <row r="17" spans="1:4" ht="12.75">
      <c r="A17" s="1013"/>
      <c r="B17" s="579" t="str">
        <f>IF(AND('И21,И22-стационарные с вын. БД'!P7=1,'И21,И22-стационарные с вын. БД'!P8=1,'И21,И22-стационарные с вын. БД'!P9=1),1100*SUM('И21,И22-стационарные с вын. БД'!M7:M24),"функция не участвует")</f>
        <v>функция не участвует</v>
      </c>
      <c r="C17" s="579"/>
      <c r="D17" s="886"/>
    </row>
    <row r="18" spans="1:4" ht="12.75">
      <c r="A18" s="1013"/>
      <c r="B18" s="579"/>
      <c r="C18" s="579"/>
      <c r="D18" s="886"/>
    </row>
    <row r="19" spans="1:4" ht="12.75">
      <c r="A19" s="1013"/>
      <c r="B19" s="579"/>
      <c r="C19" s="579"/>
      <c r="D19" s="886"/>
    </row>
    <row r="20" spans="1:4" ht="12.75">
      <c r="A20" s="1015"/>
      <c r="B20" s="1016"/>
      <c r="C20" s="1016"/>
      <c r="D20" s="10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9"/>
  <sheetViews>
    <sheetView zoomScalePageLayoutView="0" workbookViewId="0" topLeftCell="A4">
      <pane xSplit="19260" topLeftCell="AK1" activePane="topLeft" state="split"/>
      <selection pane="topLeft" activeCell="E7" sqref="E7"/>
      <selection pane="topRight" activeCell="AL7" sqref="AL7"/>
    </sheetView>
  </sheetViews>
  <sheetFormatPr defaultColWidth="14.75390625" defaultRowHeight="33" customHeight="1"/>
  <cols>
    <col min="1" max="7" width="14.75390625" style="1" customWidth="1"/>
    <col min="8" max="8" width="15.25390625" style="853" customWidth="1"/>
    <col min="9" max="9" width="14.75390625" style="1" customWidth="1"/>
    <col min="10" max="10" width="17.25390625" style="0" customWidth="1"/>
  </cols>
  <sheetData>
    <row r="1" spans="1:39" ht="33" customHeight="1" thickBot="1">
      <c r="A1" s="824" t="s">
        <v>673</v>
      </c>
      <c r="I1" s="920" t="s">
        <v>753</v>
      </c>
      <c r="J1" s="853"/>
      <c r="K1" s="1"/>
      <c r="AL1" s="1"/>
      <c r="AM1" s="1" t="s">
        <v>656</v>
      </c>
    </row>
    <row r="2" spans="1:39" ht="33" customHeight="1" thickBot="1">
      <c r="A2" s="865" t="s">
        <v>675</v>
      </c>
      <c r="B2" s="878" t="s">
        <v>703</v>
      </c>
      <c r="C2" s="877" t="s">
        <v>699</v>
      </c>
      <c r="D2" s="878" t="s">
        <v>670</v>
      </c>
      <c r="E2" s="877" t="s">
        <v>710</v>
      </c>
      <c r="F2" s="878" t="s">
        <v>670</v>
      </c>
      <c r="G2" s="866" t="s">
        <v>712</v>
      </c>
      <c r="H2" s="883" t="s">
        <v>713</v>
      </c>
      <c r="I2" s="881" t="s">
        <v>318</v>
      </c>
      <c r="J2" s="885" t="s">
        <v>705</v>
      </c>
      <c r="K2" s="1"/>
      <c r="L2" s="1"/>
      <c r="M2" s="517"/>
      <c r="N2" s="517"/>
      <c r="O2" s="51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845" t="s">
        <v>635</v>
      </c>
      <c r="AM2" s="1" t="s">
        <v>638</v>
      </c>
    </row>
    <row r="3" spans="1:39" ht="33" customHeight="1" thickBot="1">
      <c r="A3" s="789">
        <f>IF(C3="",A5,C3)</f>
      </c>
      <c r="B3" s="867" t="str">
        <f>CONCATENATE("- ",ADDRESS(6,9,1,1,"стац. с выносн. БД"))</f>
        <v>- 'стац. с выносн. БД'!$I$6</v>
      </c>
      <c r="C3" s="609">
        <f>IF(AND(C5="",C7="",C6="",C8="",C9="",G13=""),"",$I$12)</f>
      </c>
      <c r="D3" s="867" t="str">
        <f>CONCATENATE("- ",ADDRESS(6,9,1,1,"стац. с выносн. БД"))</f>
        <v>- 'стац. с выносн. БД'!$I$6</v>
      </c>
      <c r="E3" s="609" t="str">
        <f>IF(G3="",E5,G3)</f>
        <v>взрывозащита НЕ предусмотрена</v>
      </c>
      <c r="F3" s="867" t="str">
        <f>CONCATENATE("- ",ADDRESS(8,9,1,1,"стац. с выносн. БД"))</f>
        <v>- 'стац. с выносн. БД'!$I$8</v>
      </c>
      <c r="G3" s="609">
        <f>IF(G5="",IF(G6="",IF(G7="",IF(G8="",IF(G9="",IF(G10="","",G10),G9),G8),G7),G6),G5)</f>
      </c>
      <c r="H3" s="884" t="str">
        <f>CONCATENATE("- ",ADDRESS(8,9,1,1,"стац. с выносн. БД"))</f>
        <v>- 'стац. с выносн. БД'!$I$8</v>
      </c>
      <c r="I3" s="638" t="s">
        <v>595</v>
      </c>
      <c r="J3" s="885" t="s">
        <v>706</v>
      </c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845" t="s">
        <v>636</v>
      </c>
      <c r="AM3" s="1" t="s">
        <v>639</v>
      </c>
    </row>
    <row r="4" spans="1:39" ht="33" customHeight="1" thickBot="1">
      <c r="A4" s="869" t="s">
        <v>665</v>
      </c>
      <c r="C4" s="870" t="s">
        <v>573</v>
      </c>
      <c r="E4" s="570" t="s">
        <v>747</v>
      </c>
      <c r="H4" s="854" t="s">
        <v>714</v>
      </c>
      <c r="I4" s="578" t="s">
        <v>604</v>
      </c>
      <c r="J4" s="853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842" t="s">
        <v>643</v>
      </c>
      <c r="AM4" s="1" t="s">
        <v>644</v>
      </c>
    </row>
    <row r="5" spans="1:39" ht="33" customHeight="1" thickBot="1">
      <c r="A5" s="609">
        <f>IF('И21,И22-стационарные с вын. БД'!$C$26&gt;0,CONCATENATE(IF('И21,И22-стационарные с вын. БД'!$I$2="",$A$10,$A$6),A22,A23,A24,A26,A25,A27,A28,A29,A30,A31,A32),"")</f>
      </c>
      <c r="B5" s="536" t="s">
        <v>674</v>
      </c>
      <c r="C5" s="609">
        <f>IF('И21,И22-стационарные с вын. БД'!C26&gt;16,$I$12,"")</f>
      </c>
      <c r="D5" s="864" t="s">
        <v>677</v>
      </c>
      <c r="E5" s="916" t="str">
        <f>IF('И21,И22-стационарные с вын. БД'!P6=1,I13,IF('И21,И22-стационарные с вын. БД'!C29&gt;0,I15,I14))</f>
        <v>взрывозащита НЕ предусмотрена</v>
      </c>
      <c r="G5" s="609">
        <f>IF(AND(OR('И21,И22-стационарные с вын. БД'!P$6="",'И21,И22-стационарные с вын. БД'!P$6=1),OR('И21,И22-стационарные с вын. БД'!P$7="",'И21,И22-стационарные с вын. БД'!P$7=1),OR('И21,И22-стационарные с вын. БД'!P$8="",'И21,И22-стационарные с вын. БД'!P$8=1),OR('И21,И22-стационарные с вын. БД'!P$13="",'И21,И22-стационарные с вын. БД'!P$13=1)),"",$I$12)</f>
      </c>
      <c r="H5" s="885" t="s">
        <v>715</v>
      </c>
      <c r="I5" s="578" t="s">
        <v>571</v>
      </c>
      <c r="J5" s="198"/>
      <c r="K5" s="656" t="s">
        <v>550</v>
      </c>
      <c r="L5" s="659"/>
      <c r="M5" s="893" t="s">
        <v>613</v>
      </c>
      <c r="N5" s="894" t="s">
        <v>320</v>
      </c>
      <c r="O5" s="895" t="s">
        <v>321</v>
      </c>
      <c r="Q5" s="1"/>
      <c r="R5" s="614" t="s">
        <v>322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842" t="s">
        <v>645</v>
      </c>
      <c r="AM5" s="1" t="s">
        <v>646</v>
      </c>
    </row>
    <row r="6" spans="1:39" ht="33" customHeight="1" thickBot="1">
      <c r="A6" s="609" t="str">
        <f>CONCATENATE(A10,IF('И21,И22-стационарные с вын. БД'!I$2=сообщения!I$2,$A$9,IF('И21,И22-стационарные с вын. БД'!I$2=сообщения!I$3,A8,"")),'И21,И22-стационарные с вын. БД'!L14,'И21,И22-стационарные с вын. БД'!L15,'И21,И22-стационарные с вын. БД'!L16,'И21,И22-стационарные с вын. БД'!L17,'И21,И22-стационарные с вын. БД'!L18,'И21,И22-стационарные с вын. БД'!L21,'И21,И22-стационарные с вын. БД'!L22,'И21,И22-стационарные с вын. БД'!L19,'И21,И22-стационарные с вын. БД'!L20)</f>
        <v>Хоббит-Т</v>
      </c>
      <c r="B6" s="536" t="s">
        <v>674</v>
      </c>
      <c r="C6" s="609">
        <f>IF(AND('И21,И22-стационарные с вын. БД'!C26&gt;2,'И21,И22-стационарные с вын. БД'!P13=1),$I$12,"")</f>
      </c>
      <c r="D6" s="864" t="s">
        <v>678</v>
      </c>
      <c r="G6" s="609">
        <f>IF(OR('И21,И22-стационарные с вын. БД'!C$8*'И21,И22-стационарные с вын. БД'!P$6&gt;0,'И21,И22-стационарные с вын. БД'!E8&gt;0),$I$12,"")</f>
      </c>
      <c r="H6" s="885" t="s">
        <v>716</v>
      </c>
      <c r="I6" s="578" t="s">
        <v>574</v>
      </c>
      <c r="J6" s="198"/>
      <c r="K6" s="657" t="s">
        <v>543</v>
      </c>
      <c r="L6" s="660">
        <f>MAX(сообщения!O7:O24)</f>
        <v>0</v>
      </c>
      <c r="M6" s="816" t="str">
        <f>'И21,И22-стационарные с вын. БД'!D5</f>
        <v>Хоббит-Т</v>
      </c>
      <c r="N6" s="896" t="str">
        <f>'И21,И22-стационарные с вын. БД'!D5</f>
        <v>Хоббит-Т</v>
      </c>
      <c r="O6" s="897" t="str">
        <f>'И21,И22-стационарные с вын. БД'!D5</f>
        <v>Хоббит-Т</v>
      </c>
      <c r="Q6" s="644"/>
      <c r="R6" s="645">
        <f>IF(Q7="","",Q7)</f>
      </c>
      <c r="S6" s="645">
        <f>IF(Q8="","",Q8)</f>
      </c>
      <c r="T6" s="645">
        <f>IF(Q9="","",Q9)</f>
      </c>
      <c r="U6" s="645">
        <f>IF(Q10="","",Q10)</f>
      </c>
      <c r="V6" s="645">
        <f>IF(Q11="","",Q11)</f>
      </c>
      <c r="W6" s="646">
        <f>IF(Q12="","",Q12)</f>
      </c>
      <c r="X6" s="646">
        <f>IF(Q13="","",Q13)</f>
      </c>
      <c r="Y6" s="646">
        <f>IF(Q14="","",Q14)</f>
      </c>
      <c r="Z6" s="646">
        <f>IF(Q15="","",Q15)</f>
      </c>
      <c r="AA6" s="646">
        <f>IF(Q16="","",Q16)</f>
      </c>
      <c r="AB6" s="646">
        <f>IF(Q17="","",Q17)</f>
      </c>
      <c r="AC6" s="646">
        <f>IF(Q18="","",Q18)</f>
      </c>
      <c r="AD6" s="646">
        <f>IF(Q19="","",Q19)</f>
      </c>
      <c r="AE6" s="646">
        <f>IF(Q20="","",Q20)</f>
      </c>
      <c r="AF6" s="646">
        <f>IF(Q21="","",Q21)</f>
      </c>
      <c r="AG6" s="646">
        <f>IF(Q22="","",Q22)</f>
      </c>
      <c r="AH6" s="646">
        <f>IF(Q23="","",Q23)</f>
      </c>
      <c r="AI6" s="647">
        <f>IF(Q24="","",Q24)</f>
      </c>
      <c r="AJ6" s="619">
        <f>CONCATENATE(AJ7,AJ8,AJ9,AJ14,AJ15,AJ16,AJ17,AJ18,AJ19,AJ20,AJ21,AJ22,AJ23,AJ24)</f>
      </c>
      <c r="AL6" s="845" t="s">
        <v>881</v>
      </c>
      <c r="AM6" s="1" t="s">
        <v>641</v>
      </c>
    </row>
    <row r="7" spans="1:39" ht="33" customHeight="1" thickBot="1">
      <c r="A7" s="609">
        <f>IF('И21,И22-стационарные с вын. БД'!I$2=сообщения!I$2,$A$9,"")</f>
      </c>
      <c r="B7" s="536" t="s">
        <v>597</v>
      </c>
      <c r="C7" s="609">
        <f>IF(MAX('И21,И22-стационарные с вын. БД'!D7:D24)&gt;3,$I$12,"")</f>
      </c>
      <c r="D7" s="864" t="s">
        <v>679</v>
      </c>
      <c r="G7" s="609">
        <f>IF(AND('И21,И22-стационарные с вын. БД'!P$7=1,OR('И21,И22-стационарные с вын. БД'!P$6=1,SUM('И21,И22-стационарные с вын. БД'!E$7:E$24)&gt;0)),$I$12,"")</f>
      </c>
      <c r="H7" s="885" t="s">
        <v>717</v>
      </c>
      <c r="I7" s="578" t="s">
        <v>567</v>
      </c>
      <c r="J7" s="198"/>
      <c r="K7" s="657" t="s">
        <v>544</v>
      </c>
      <c r="L7" s="898">
        <f>SUMPRODUCT('И21,И22-стационарные с вын. БД'!M7:M24,сообщения!N7:N24)</f>
        <v>0</v>
      </c>
      <c r="M7" s="905">
        <f>'И21,И22-стационарные с вын. БД'!K7</f>
      </c>
      <c r="N7" s="512">
        <f>IF(SUM('И21,И22-стационарные с вын. БД'!$C$7:$C$24)&gt;8,IF(OR('И21,И22-стационарные с вын. БД'!B7="O3",'И21,И22-стационарные с вын. БД'!B7="F2"),"--",VLOOKUP('И21,И22-стационарные с вын. БД'!B7,СГИ!$A$8:$G$27,IF(N$6=сообщения!I$3,3,4),TRUE)+VLOOKUP('И21,И22-стационарные с вын. БД'!B7,СГИ!$A$8:$G$27,2,TRUE)),VLOOKUP('И21,И22-стационарные с вын. БД'!B7,СГИ!$A$8:$G$27,IF(N$6=сообщения!I$3,3,4),TRUE))</f>
        <v>9670</v>
      </c>
      <c r="O7" s="513">
        <f>IF('И21,И22-стационарные с вын. БД'!M7&gt;0,VLOOKUP(M7,СГИ!$A$8:$G$27,IF(N$6=сообщения!I$3,5,6),TRUE),"")</f>
      </c>
      <c r="Q7" s="648">
        <f>IF(сообщения!M7="","",сообщения!M7)</f>
      </c>
      <c r="R7" s="621">
        <f>IF(IF(ISNA(INDEX(СГИ!$Q$3:$AJ$22,VLOOKUP($Q7,СГИ!$O$3:$P$22,2),HLOOKUP(R$6,СГИ!$Q$1:$AJ$2,2))),"",INDEX(СГИ!$Q$3:$AJ$22,VLOOKUP($Q7,СГИ!$O$3:$P$22,2),HLOOKUP(R$6,СГИ!$Q$1:$AJ$2,2)))=1,CONCATENATE("при измерении ",$Q7," ",R$6," не допускается ! "),"")</f>
      </c>
      <c r="S7" s="621">
        <f>IF(IF(ISNA(INDEX(СГИ!$Q$3:$AJ$22,VLOOKUP($Q7,СГИ!$O$3:$P$22,2),HLOOKUP(S$6,СГИ!$Q$1:$AJ$2,2))),"",INDEX(СГИ!$Q$3:$AJ$22,VLOOKUP($Q7,СГИ!$O$3:$P$22,2),HLOOKUP(S$6,СГИ!$Q$1:$AJ$2,2)))=1,CONCATENATE("при измерении ",$Q7," ",S$6," не допускается ! "),"")</f>
      </c>
      <c r="T7" s="621">
        <f>IF(IF(ISNA(INDEX(СГИ!$Q$3:$AJ$22,VLOOKUP($Q7,СГИ!$O$3:$P$22,2),HLOOKUP(T$6,СГИ!$Q$1:$AJ$2,2))),"",INDEX(СГИ!$Q$3:$AJ$22,VLOOKUP($Q7,СГИ!$O$3:$P$22,2),HLOOKUP(T$6,СГИ!$Q$1:$AJ$2,2)))=1,CONCATENATE("при измерении ",$Q7," ",T$6," не допускается ! "),"")</f>
      </c>
      <c r="U7" s="621">
        <f>IF(IF(ISNA(INDEX(СГИ!$Q$3:$AJ$22,VLOOKUP($Q7,СГИ!$O$3:$P$22,2),HLOOKUP(U$6,СГИ!$Q$1:$AJ$2,2))),"",INDEX(СГИ!$Q$3:$AJ$22,VLOOKUP($Q7,СГИ!$O$3:$P$22,2),HLOOKUP(U$6,СГИ!$Q$1:$AJ$2,2)))=1,CONCATENATE("при измерении ",$Q7," ",U$6," не допускается ! "),"")</f>
      </c>
      <c r="V7" s="621">
        <f>IF(IF(ISNA(INDEX(СГИ!$Q$3:$AJ$22,VLOOKUP($Q7,СГИ!$O$3:$P$22,2),HLOOKUP(V$6,СГИ!$Q$1:$AJ$2,2))),"",INDEX(СГИ!$Q$3:$AJ$22,VLOOKUP($Q7,СГИ!$O$3:$P$22,2),HLOOKUP(V$6,СГИ!$Q$1:$AJ$2,2)))=1,CONCATENATE("при измерении ",$Q7," ",V$6," не допускается ! "),"")</f>
      </c>
      <c r="W7" s="621">
        <f>IF(IF(ISNA(INDEX(СГИ!$Q$3:$AJ$22,VLOOKUP($Q7,СГИ!$O$3:$P$22,2),HLOOKUP(W$6,СГИ!$Q$1:$AJ$2,2))),"",INDEX(СГИ!$Q$3:$AJ$22,VLOOKUP($Q7,СГИ!$O$3:$P$22,2),HLOOKUP(W$6,СГИ!$Q$1:$AJ$2,2)))=1,CONCATENATE("при измерении ",$Q7," ",W$6," не допускается ! "),"")</f>
      </c>
      <c r="X7" s="621">
        <f>IF(IF(ISNA(INDEX(СГИ!$Q$3:$AJ$22,VLOOKUP($Q7,СГИ!$O$3:$P$22,2),HLOOKUP(X$6,СГИ!$Q$1:$AJ$2,2))),"",INDEX(СГИ!$Q$3:$AJ$22,VLOOKUP($Q7,СГИ!$O$3:$P$22,2),HLOOKUP(X$6,СГИ!$Q$1:$AJ$2,2)))=1,CONCATENATE("при измерении ",$Q7," ",X$6," не допускается ! "),"")</f>
      </c>
      <c r="Y7" s="621">
        <f>IF(IF(ISNA(INDEX(СГИ!$Q$3:$AJ$22,VLOOKUP($Q7,СГИ!$O$3:$P$22,2),HLOOKUP(Y$6,СГИ!$Q$1:$AJ$2,2))),"",INDEX(СГИ!$Q$3:$AJ$22,VLOOKUP($Q7,СГИ!$O$3:$P$22,2),HLOOKUP(Y$6,СГИ!$Q$1:$AJ$2,2)))=1,CONCATENATE("при измерении ",$Q7," ",Y$6," не допускается ! "),"")</f>
      </c>
      <c r="Z7" s="621">
        <f>IF(IF(ISNA(INDEX(СГИ!$Q$3:$AJ$22,VLOOKUP($Q7,СГИ!$O$3:$P$22,2),HLOOKUP(Z$6,СГИ!$Q$1:$AJ$2,2))),"",INDEX(СГИ!$Q$3:$AJ$22,VLOOKUP($Q7,СГИ!$O$3:$P$22,2),HLOOKUP(Z$6,СГИ!$Q$1:$AJ$2,2)))=1,CONCATENATE("при измерении ",$Q7," ",Z$6," не допускается ! "),"")</f>
      </c>
      <c r="AA7" s="621">
        <f>IF(IF(ISNA(INDEX(СГИ!$Q$3:$AJ$22,VLOOKUP($Q7,СГИ!$O$3:$P$22,2),HLOOKUP(AA$6,СГИ!$Q$1:$AJ$2,2))),"",INDEX(СГИ!$Q$3:$AJ$22,VLOOKUP($Q7,СГИ!$O$3:$P$22,2),HLOOKUP(AA$6,СГИ!$Q$1:$AJ$2,2)))=1,CONCATENATE("при измерении ",$Q7," ",AA$6," не допускается ! "),"")</f>
      </c>
      <c r="AB7" s="621">
        <f>IF(IF(ISNA(INDEX(СГИ!$Q$3:$AJ$22,VLOOKUP($Q7,СГИ!$O$3:$P$22,2),HLOOKUP(AB$6,СГИ!$Q$1:$AJ$2,2))),"",INDEX(СГИ!$Q$3:$AJ$22,VLOOKUP($Q7,СГИ!$O$3:$P$22,2),HLOOKUP(AB$6,СГИ!$Q$1:$AJ$2,2)))=1,CONCATENATE("при измерении ",$Q7," ",AB$6," не допускается ! "),"")</f>
      </c>
      <c r="AC7" s="621">
        <f>IF(IF(ISNA(INDEX(СГИ!$Q$3:$AJ$22,VLOOKUP($Q7,СГИ!$O$3:$P$22,2),HLOOKUP(AC$6,СГИ!$Q$1:$AJ$2,2))),"",INDEX(СГИ!$Q$3:$AJ$22,VLOOKUP($Q7,СГИ!$O$3:$P$22,2),HLOOKUP(AC$6,СГИ!$Q$1:$AJ$2,2)))=1,CONCATENATE("при измерении ",$Q7," ",AC$6," не допускается ! "),"")</f>
      </c>
      <c r="AD7" s="621">
        <f>IF(IF(ISNA(INDEX(СГИ!$Q$3:$AJ$22,VLOOKUP($Q7,СГИ!$O$3:$P$22,2),HLOOKUP(AD$6,СГИ!$Q$1:$AJ$2,2))),"",INDEX(СГИ!$Q$3:$AJ$22,VLOOKUP($Q7,СГИ!$O$3:$P$22,2),HLOOKUP(AD$6,СГИ!$Q$1:$AJ$2,2)))=1,CONCATENATE("при измерении ",$Q7," ",AD$6," не допускается ! "),"")</f>
      </c>
      <c r="AE7" s="621">
        <f>IF(IF(ISNA(INDEX(СГИ!$Q$3:$AJ$22,VLOOKUP($Q7,СГИ!$O$3:$P$22,2),HLOOKUP(AE$6,СГИ!$Q$1:$AJ$2,2))),"",INDEX(СГИ!$Q$3:$AJ$22,VLOOKUP($Q7,СГИ!$O$3:$P$22,2),HLOOKUP(AE$6,СГИ!$Q$1:$AJ$2,2)))=1,CONCATENATE("при измерении ",$Q7," ",AE$6," не допускается ! "),"")</f>
      </c>
      <c r="AF7" s="621">
        <f>IF(IF(ISNA(INDEX(СГИ!$Q$3:$AJ$22,VLOOKUP($Q7,СГИ!$O$3:$P$22,2),HLOOKUP(AF$6,СГИ!$Q$1:$AJ$2,2))),"",INDEX(СГИ!$Q$3:$AJ$22,VLOOKUP($Q7,СГИ!$O$3:$P$22,2),HLOOKUP(AF$6,СГИ!$Q$1:$AJ$2,2)))=1,CONCATENATE("при измерении ",$Q7," ",AF$6," не допускается ! "),"")</f>
      </c>
      <c r="AG7" s="621">
        <f>IF(IF(ISNA(INDEX(СГИ!$Q$3:$AJ$22,VLOOKUP($Q7,СГИ!$O$3:$P$22,2),HLOOKUP(AG$6,СГИ!$Q$1:$AJ$2,2))),"",INDEX(СГИ!$Q$3:$AJ$22,VLOOKUP($Q7,СГИ!$O$3:$P$22,2),HLOOKUP(AG$6,СГИ!$Q$1:$AJ$2,2)))=1,CONCATENATE("при измерении ",$Q7," ",AG$6," не допускается ! "),"")</f>
      </c>
      <c r="AH7" s="621">
        <f>IF(IF(ISNA(INDEX(СГИ!$Q$3:$AJ$22,VLOOKUP($Q7,СГИ!$O$3:$P$22,2),HLOOKUP(AH$6,СГИ!$Q$1:$AJ$2,2))),"",INDEX(СГИ!$Q$3:$AJ$22,VLOOKUP($Q7,СГИ!$O$3:$P$22,2),HLOOKUP(AH$6,СГИ!$Q$1:$AJ$2,2)))=1,CONCATENATE("при измерении ",$Q7," ",AH$6," не допускается ! "),"")</f>
      </c>
      <c r="AI7" s="649">
        <f>IF(IF(ISNA(INDEX(СГИ!$Q$3:$AJ$22,VLOOKUP($Q7,СГИ!$O$3:$P$22,2),HLOOKUP(AI$6,СГИ!$Q$1:$AJ$2,2))),"",INDEX(СГИ!$Q$3:$AJ$22,VLOOKUP($Q7,СГИ!$O$3:$P$22,2),HLOOKUP(AI$6,СГИ!$Q$1:$AJ$2,2)))=1,CONCATENATE("при измерении ",$Q7," ",AI$6," не допускается ! "),"")</f>
      </c>
      <c r="AJ7" s="1">
        <f aca="true" t="shared" si="0" ref="AJ7:AJ24">CONCATENATE(R7,S7,T7,U7,V7,W7,X7,Y7,Z7,AA7,AB7,AC7,AD7,AE7,AF7,AG7,AH7,AI7)</f>
      </c>
      <c r="AL7" s="845" t="s">
        <v>881</v>
      </c>
      <c r="AM7" s="1" t="s">
        <v>776</v>
      </c>
    </row>
    <row r="8" spans="1:39" ht="33" customHeight="1" thickBot="1">
      <c r="A8" s="609">
        <f>IF('И21,И22-стационарные с вын. БД'!$I2=I$3,CONCATENATE(A34,A35,A36,A37,A38,A39,A40,A41,A42,A43),"")</f>
      </c>
      <c r="B8" s="536" t="s">
        <v>598</v>
      </c>
      <c r="C8" s="609">
        <f>IF(AND('И21,И22-стационарные с вын. БД'!I2=I2,OR('И21,И22-стационарные с вын. БД'!C21&gt;0,'И21,И22-стационарные с вын. БД'!C22&gt;0)),сообщения!I12,"")</f>
      </c>
      <c r="D8" s="864" t="s">
        <v>680</v>
      </c>
      <c r="G8" s="609">
        <f>IF(AND('И21,И22-стационарные с вын. БД'!P$8=1,OR('И21,И22-стационарные с вын. БД'!P$6=1,SUM('И21,И22-стационарные с вын. БД'!E$7:E$24)&gt;0)),$I$12,"")</f>
      </c>
      <c r="H8" s="885" t="s">
        <v>718</v>
      </c>
      <c r="I8" s="578" t="s">
        <v>570</v>
      </c>
      <c r="J8" s="198"/>
      <c r="K8" s="657" t="s">
        <v>547</v>
      </c>
      <c r="L8" s="898">
        <f>IF('И21,И22-стационарные с вын. БД'!C26&gt;8,0.1*L7,0)</f>
        <v>0</v>
      </c>
      <c r="M8" s="906">
        <f>'И21,И22-стационарные с вын. БД'!K8</f>
      </c>
      <c r="N8" s="512">
        <f>IF(SUM('И21,И22-стационарные с вын. БД'!$C$7:$C$24)&gt;8,IF(OR('И21,И22-стационарные с вын. БД'!B8="O3",'И21,И22-стационарные с вын. БД'!B8="F2"),"--",VLOOKUP('И21,И22-стационарные с вын. БД'!B8,СГИ!$A$8:$G$27,IF(N$6=сообщения!I$3,3,4),TRUE)+VLOOKUP('И21,И22-стационарные с вын. БД'!B8,СГИ!$A$8:$G$27,2,TRUE)),VLOOKUP('И21,И22-стационарные с вын. БД'!B8,СГИ!$A$8:$G$27,IF(N$6=сообщения!I$3,3,4),TRUE))</f>
        <v>8460</v>
      </c>
      <c r="O8" s="513">
        <f>IF('И21,И22-стационарные с вын. БД'!M8&gt;0,VLOOKUP(M8,СГИ!$A$8:$G$27,IF(N$6=сообщения!I$3,5,6),TRUE),"")</f>
      </c>
      <c r="Q8" s="648">
        <f>IF(сообщения!M8="","",сообщения!M8)</f>
      </c>
      <c r="R8" s="621">
        <f>IF(IF(ISNA(INDEX(СГИ!$Q$3:$AJ$22,VLOOKUP($Q8,СГИ!$O$3:$P$22,2),HLOOKUP(R$6,СГИ!$Q$1:$AJ$2,2))),"",INDEX(СГИ!$Q$3:$AJ$22,VLOOKUP($Q8,СГИ!$O$3:$P$22,2),HLOOKUP(R$6,СГИ!$Q$1:$AJ$2,2)))=1,CONCATENATE("при измерении ",$Q8," ",R$6," не допускается ! "),"")</f>
      </c>
      <c r="S8" s="621">
        <f>IF(IF(ISNA(INDEX(СГИ!$Q$3:$AJ$22,VLOOKUP($Q8,СГИ!$O$3:$P$22,2),HLOOKUP(S$6,СГИ!$Q$1:$AJ$2,2))),"",INDEX(СГИ!$Q$3:$AJ$22,VLOOKUP($Q8,СГИ!$O$3:$P$22,2),HLOOKUP(S$6,СГИ!$Q$1:$AJ$2,2)))=1,CONCATENATE("при измерении ",$Q8," ",S$6," не допускается ! "),"")</f>
      </c>
      <c r="T8" s="621">
        <f>IF(IF(ISNA(INDEX(СГИ!$Q$3:$AJ$22,VLOOKUP($Q8,СГИ!$O$3:$P$22,2),HLOOKUP(T$6,СГИ!$Q$1:$AJ$2,2))),"",INDEX(СГИ!$Q$3:$AJ$22,VLOOKUP($Q8,СГИ!$O$3:$P$22,2),HLOOKUP(T$6,СГИ!$Q$1:$AJ$2,2)))=1,CONCATENATE("при измерении ",$Q8," ",T$6," не допускается ! "),"")</f>
      </c>
      <c r="U8" s="621">
        <f>IF(IF(ISNA(INDEX(СГИ!$Q$3:$AJ$22,VLOOKUP($Q8,СГИ!$O$3:$P$22,2),HLOOKUP(U$6,СГИ!$Q$1:$AJ$2,2))),"",INDEX(СГИ!$Q$3:$AJ$22,VLOOKUP($Q8,СГИ!$O$3:$P$22,2),HLOOKUP(U$6,СГИ!$Q$1:$AJ$2,2)))=1,CONCATENATE("при измерении ",$Q8," ",U$6," не допускается ! "),"")</f>
      </c>
      <c r="V8" s="621">
        <f>IF(IF(ISNA(INDEX(СГИ!$Q$3:$AJ$22,VLOOKUP($Q8,СГИ!$O$3:$P$22,2),HLOOKUP(V$6,СГИ!$Q$1:$AJ$2,2))),"",INDEX(СГИ!$Q$3:$AJ$22,VLOOKUP($Q8,СГИ!$O$3:$P$22,2),HLOOKUP(V$6,СГИ!$Q$1:$AJ$2,2)))=1,CONCATENATE("при измерении ",$Q8," ",V$6," не допускается ! "),"")</f>
      </c>
      <c r="W8" s="621">
        <f>IF(IF(ISNA(INDEX(СГИ!$Q$3:$AJ$22,VLOOKUP($Q8,СГИ!$O$3:$P$22,2),HLOOKUP(W$6,СГИ!$Q$1:$AJ$2,2))),"",INDEX(СГИ!$Q$3:$AJ$22,VLOOKUP($Q8,СГИ!$O$3:$P$22,2),HLOOKUP(W$6,СГИ!$Q$1:$AJ$2,2)))=1,CONCATENATE("при измерении ",$Q8," ",W$6," не допускается ! "),"")</f>
      </c>
      <c r="X8" s="621">
        <f>IF(IF(ISNA(INDEX(СГИ!$Q$3:$AJ$22,VLOOKUP($Q8,СГИ!$O$3:$P$22,2),HLOOKUP(X$6,СГИ!$Q$1:$AJ$2,2))),"",INDEX(СГИ!$Q$3:$AJ$22,VLOOKUP($Q8,СГИ!$O$3:$P$22,2),HLOOKUP(X$6,СГИ!$Q$1:$AJ$2,2)))=1,CONCATENATE("при измерении ",$Q8," ",X$6," не допускается ! "),"")</f>
      </c>
      <c r="Y8" s="621">
        <f>IF(IF(ISNA(INDEX(СГИ!$Q$3:$AJ$22,VLOOKUP($Q8,СГИ!$O$3:$P$22,2),HLOOKUP(Y$6,СГИ!$Q$1:$AJ$2,2))),"",INDEX(СГИ!$Q$3:$AJ$22,VLOOKUP($Q8,СГИ!$O$3:$P$22,2),HLOOKUP(Y$6,СГИ!$Q$1:$AJ$2,2)))=1,CONCATENATE("при измерении ",$Q8," ",Y$6," не допускается ! "),"")</f>
      </c>
      <c r="Z8" s="621">
        <f>IF(IF(ISNA(INDEX(СГИ!$Q$3:$AJ$22,VLOOKUP($Q8,СГИ!$O$3:$P$22,2),HLOOKUP(Z$6,СГИ!$Q$1:$AJ$2,2))),"",INDEX(СГИ!$Q$3:$AJ$22,VLOOKUP($Q8,СГИ!$O$3:$P$22,2),HLOOKUP(Z$6,СГИ!$Q$1:$AJ$2,2)))=1,CONCATENATE("при измерении ",$Q8," ",Z$6," не допускается ! "),"")</f>
      </c>
      <c r="AA8" s="621">
        <f>IF(IF(ISNA(INDEX(СГИ!$Q$3:$AJ$22,VLOOKUP($Q8,СГИ!$O$3:$P$22,2),HLOOKUP(AA$6,СГИ!$Q$1:$AJ$2,2))),"",INDEX(СГИ!$Q$3:$AJ$22,VLOOKUP($Q8,СГИ!$O$3:$P$22,2),HLOOKUP(AA$6,СГИ!$Q$1:$AJ$2,2)))=1,CONCATENATE("при измерении ",$Q8," ",AA$6," не допускается ! "),"")</f>
      </c>
      <c r="AB8" s="621">
        <f>IF(IF(ISNA(INDEX(СГИ!$Q$3:$AJ$22,VLOOKUP($Q8,СГИ!$O$3:$P$22,2),HLOOKUP(AB$6,СГИ!$Q$1:$AJ$2,2))),"",INDEX(СГИ!$Q$3:$AJ$22,VLOOKUP($Q8,СГИ!$O$3:$P$22,2),HLOOKUP(AB$6,СГИ!$Q$1:$AJ$2,2)))=1,CONCATENATE("при измерении ",$Q8," ",AB$6," не допускается ! "),"")</f>
      </c>
      <c r="AC8" s="621">
        <f>IF(IF(ISNA(INDEX(СГИ!$Q$3:$AJ$22,VLOOKUP($Q8,СГИ!$O$3:$P$22,2),HLOOKUP(AC$6,СГИ!$Q$1:$AJ$2,2))),"",INDEX(СГИ!$Q$3:$AJ$22,VLOOKUP($Q8,СГИ!$O$3:$P$22,2),HLOOKUP(AC$6,СГИ!$Q$1:$AJ$2,2)))=1,CONCATENATE("при измерении ",$Q8," ",AC$6," не допускается ! "),"")</f>
      </c>
      <c r="AD8" s="621">
        <f>IF(IF(ISNA(INDEX(СГИ!$Q$3:$AJ$22,VLOOKUP($Q8,СГИ!$O$3:$P$22,2),HLOOKUP(AD$6,СГИ!$Q$1:$AJ$2,2))),"",INDEX(СГИ!$Q$3:$AJ$22,VLOOKUP($Q8,СГИ!$O$3:$P$22,2),HLOOKUP(AD$6,СГИ!$Q$1:$AJ$2,2)))=1,CONCATENATE("при измерении ",$Q8," ",AD$6," не допускается ! "),"")</f>
      </c>
      <c r="AE8" s="621">
        <f>IF(IF(ISNA(INDEX(СГИ!$Q$3:$AJ$22,VLOOKUP($Q8,СГИ!$O$3:$P$22,2),HLOOKUP(AE$6,СГИ!$Q$1:$AJ$2,2))),"",INDEX(СГИ!$Q$3:$AJ$22,VLOOKUP($Q8,СГИ!$O$3:$P$22,2),HLOOKUP(AE$6,СГИ!$Q$1:$AJ$2,2)))=1,CONCATENATE("при измерении ",$Q8," ",AE$6," не допускается ! "),"")</f>
      </c>
      <c r="AF8" s="621">
        <f>IF(IF(ISNA(INDEX(СГИ!$Q$3:$AJ$22,VLOOKUP($Q8,СГИ!$O$3:$P$22,2),HLOOKUP(AF$6,СГИ!$Q$1:$AJ$2,2))),"",INDEX(СГИ!$Q$3:$AJ$22,VLOOKUP($Q8,СГИ!$O$3:$P$22,2),HLOOKUP(AF$6,СГИ!$Q$1:$AJ$2,2)))=1,CONCATENATE("при измерении ",$Q8," ",AF$6," не допускается ! "),"")</f>
      </c>
      <c r="AG8" s="621">
        <f>IF(IF(ISNA(INDEX(СГИ!$Q$3:$AJ$22,VLOOKUP($Q8,СГИ!$O$3:$P$22,2),HLOOKUP(AG$6,СГИ!$Q$1:$AJ$2,2))),"",INDEX(СГИ!$Q$3:$AJ$22,VLOOKUP($Q8,СГИ!$O$3:$P$22,2),HLOOKUP(AG$6,СГИ!$Q$1:$AJ$2,2)))=1,CONCATENATE("при измерении ",$Q8," ",AG$6," не допускается ! "),"")</f>
      </c>
      <c r="AH8" s="621">
        <f>IF(IF(ISNA(INDEX(СГИ!$Q$3:$AJ$22,VLOOKUP($Q8,СГИ!$O$3:$P$22,2),HLOOKUP(AH$6,СГИ!$Q$1:$AJ$2,2))),"",INDEX(СГИ!$Q$3:$AJ$22,VLOOKUP($Q8,СГИ!$O$3:$P$22,2),HLOOKUP(AH$6,СГИ!$Q$1:$AJ$2,2)))=1,CONCATENATE("при измерении ",$Q8," ",AH$6," не допускается ! "),"")</f>
      </c>
      <c r="AI8" s="649">
        <f>IF(IF(ISNA(INDEX(СГИ!$Q$3:$AJ$22,VLOOKUP($Q8,СГИ!$O$3:$P$22,2),HLOOKUP(AI$6,СГИ!$Q$1:$AJ$2,2))),"",INDEX(СГИ!$Q$3:$AJ$22,VLOOKUP($Q8,СГИ!$O$3:$P$22,2),HLOOKUP(AI$6,СГИ!$Q$1:$AJ$2,2)))=1,CONCATENATE("при измерении ",$Q8," ",AI$6," не допускается ! "),"")</f>
      </c>
      <c r="AJ8" s="1">
        <f t="shared" si="0"/>
      </c>
      <c r="AL8" s="845" t="s">
        <v>640</v>
      </c>
      <c r="AM8" s="1" t="s">
        <v>642</v>
      </c>
    </row>
    <row r="9" spans="1:39" ht="33" customHeight="1" thickBot="1">
      <c r="A9" s="609">
        <f>IF('И21,И22-стационарные с вын. БД'!I2=сообщения!I2,CONCATENATE('И21,И22-стационарные с вын. БД'!L7,'И21,И22-стационарные с вын. БД'!L8,'И21,И22-стационарные с вын. БД'!L9,'И21,И22-стационарные с вын. БД'!L10,'И21,И22-стационарные с вын. БД'!L11,'И21,И22-стационарные с вын. БД'!L12,'И21,И22-стационарные с вын. БД'!L13),"")</f>
      </c>
      <c r="B9" s="536" t="s">
        <v>597</v>
      </c>
      <c r="C9" s="609">
        <f>IF(E3=I12,I12,"")</f>
      </c>
      <c r="D9" s="864" t="s">
        <v>709</v>
      </c>
      <c r="G9" s="609">
        <f>IF(AND('И21,И22-стационарные с вын. БД'!P$13=1,OR('И21,И22-стационарные с вын. БД'!P$6=1,SUM('И21,И22-стационарные с вын. БД'!E$7:E$24)&gt;0)),$I$12,"")</f>
      </c>
      <c r="H9" s="885" t="s">
        <v>719</v>
      </c>
      <c r="I9" s="578" t="s">
        <v>572</v>
      </c>
      <c r="J9" s="198"/>
      <c r="K9" s="657" t="s">
        <v>600</v>
      </c>
      <c r="L9" s="898">
        <f>IF(AND(NOT('И21,И22-стационарные с вын. БД'!P6=1),'И21,И22-стационарные с вын. БД'!C26=1,'И21,И22-стационарные с вын. БД'!C7+'И21,И22-стационарные с вын. БД'!C16+'И21,И22-стационарные с вын. БД'!C18+'И21,И22-стационарные с вын. БД'!C19=1),0.1*L7,0)</f>
        <v>0</v>
      </c>
      <c r="M9" s="906">
        <f>'И21,И22-стационарные с вын. БД'!K9</f>
      </c>
      <c r="N9" s="512">
        <f>IF(SUM('И21,И22-стационарные с вын. БД'!$C$7:$C$24)&gt;8,IF(OR('И21,И22-стационарные с вын. БД'!B9="O3",'И21,И22-стационарные с вын. БД'!B9="F2"),"--",VLOOKUP('И21,И22-стационарные с вын. БД'!B9,СГИ!$A$8:$G$27,IF(N$6=сообщения!I$3,3,4),TRUE)+VLOOKUP('И21,И22-стационарные с вын. БД'!B9,СГИ!$A$8:$G$27,2,TRUE)),VLOOKUP('И21,И22-стационарные с вын. БД'!B9,СГИ!$A$8:$G$27,IF(N$6=сообщения!I$3,3,4),TRUE))</f>
        <v>8460</v>
      </c>
      <c r="O9" s="513">
        <f>IF('И21,И22-стационарные с вын. БД'!M9&gt;0,VLOOKUP(M9,СГИ!$A$8:$G$27,IF(N$6=сообщения!I$3,5,6),TRUE),"")</f>
      </c>
      <c r="Q9" s="648">
        <f>IF(сообщения!M9="","","CO горюч.")</f>
      </c>
      <c r="R9" s="621">
        <f>IF(IF(ISNA(INDEX(СГИ!$Q$3:$AJ$22,VLOOKUP($Q9,СГИ!$O$3:$P$22,2),HLOOKUP(R$6,СГИ!$Q$1:$AJ$2,2))),"",INDEX(СГИ!$Q$3:$AJ$22,VLOOKUP($Q9,СГИ!$O$3:$P$22,2),HLOOKUP(R$6,СГИ!$Q$1:$AJ$2,2)))=1,CONCATENATE("при измерении ",$Q9," ",R$6," не допускается ! "),"")</f>
      </c>
      <c r="S9" s="621">
        <f>IF(IF(ISNA(INDEX(СГИ!$Q$3:$AJ$22,VLOOKUP($Q9,СГИ!$O$3:$P$22,2),HLOOKUP(S$6,СГИ!$Q$1:$AJ$2,2))),"",INDEX(СГИ!$Q$3:$AJ$22,VLOOKUP($Q9,СГИ!$O$3:$P$22,2),HLOOKUP(S$6,СГИ!$Q$1:$AJ$2,2)))=1,CONCATENATE("при измерении ",$Q9," ",S$6," не допускается ! "),"")</f>
      </c>
      <c r="T9" s="621">
        <f>IF(IF(ISNA(INDEX(СГИ!$Q$3:$AJ$22,VLOOKUP($Q9,СГИ!$O$3:$P$22,2),HLOOKUP(T$6,СГИ!$Q$1:$AJ$2,2))),"",INDEX(СГИ!$Q$3:$AJ$22,VLOOKUP($Q9,СГИ!$O$3:$P$22,2),HLOOKUP(T$6,СГИ!$Q$1:$AJ$2,2)))=1,CONCATENATE("при измерении ",$Q9," ",T$6," не допускается ! "),"")</f>
      </c>
      <c r="U9" s="621">
        <f>IF(IF(ISNA(INDEX(СГИ!$Q$3:$AJ$22,VLOOKUP($Q9,СГИ!$O$3:$P$22,2),HLOOKUP(U$6,СГИ!$Q$1:$AJ$2,2))),"",INDEX(СГИ!$Q$3:$AJ$22,VLOOKUP($Q9,СГИ!$O$3:$P$22,2),HLOOKUP(U$6,СГИ!$Q$1:$AJ$2,2)))=1,CONCATENATE("при измерении ",$Q9," ",U$6," не допускается ! "),"")</f>
      </c>
      <c r="V9" s="621">
        <f>IF(IF(ISNA(INDEX(СГИ!$Q$3:$AJ$22,VLOOKUP($Q9,СГИ!$O$3:$P$22,2),HLOOKUP(V$6,СГИ!$Q$1:$AJ$2,2))),"",INDEX(СГИ!$Q$3:$AJ$22,VLOOKUP($Q9,СГИ!$O$3:$P$22,2),HLOOKUP(V$6,СГИ!$Q$1:$AJ$2,2)))=1,CONCATENATE("при измерении ",$Q9," ",V$6," не допускается ! "),"")</f>
      </c>
      <c r="W9" s="621">
        <f>IF(IF(ISNA(INDEX(СГИ!$Q$3:$AJ$22,VLOOKUP($Q9,СГИ!$O$3:$P$22,2),HLOOKUP(W$6,СГИ!$Q$1:$AJ$2,2))),"",INDEX(СГИ!$Q$3:$AJ$22,VLOOKUP($Q9,СГИ!$O$3:$P$22,2),HLOOKUP(W$6,СГИ!$Q$1:$AJ$2,2)))=1,CONCATENATE("при измерении ",$Q9," ",W$6," не допускается ! "),"")</f>
      </c>
      <c r="X9" s="621">
        <f>IF(IF(ISNA(INDEX(СГИ!$Q$3:$AJ$22,VLOOKUP($Q9,СГИ!$O$3:$P$22,2),HLOOKUP(X$6,СГИ!$Q$1:$AJ$2,2))),"",INDEX(СГИ!$Q$3:$AJ$22,VLOOKUP($Q9,СГИ!$O$3:$P$22,2),HLOOKUP(X$6,СГИ!$Q$1:$AJ$2,2)))=1,CONCATENATE("при измерении ",$Q9," ",X$6," не допускается ! "),"")</f>
      </c>
      <c r="Y9" s="621">
        <f>IF(IF(ISNA(INDEX(СГИ!$Q$3:$AJ$22,VLOOKUP($Q9,СГИ!$O$3:$P$22,2),HLOOKUP(Y$6,СГИ!$Q$1:$AJ$2,2))),"",INDEX(СГИ!$Q$3:$AJ$22,VLOOKUP($Q9,СГИ!$O$3:$P$22,2),HLOOKUP(Y$6,СГИ!$Q$1:$AJ$2,2)))=1,CONCATENATE("при измерении ",$Q9," ",Y$6," не допускается ! "),"")</f>
      </c>
      <c r="Z9" s="621">
        <f>IF(IF(ISNA(INDEX(СГИ!$Q$3:$AJ$22,VLOOKUP($Q9,СГИ!$O$3:$P$22,2),HLOOKUP(Z$6,СГИ!$Q$1:$AJ$2,2))),"",INDEX(СГИ!$Q$3:$AJ$22,VLOOKUP($Q9,СГИ!$O$3:$P$22,2),HLOOKUP(Z$6,СГИ!$Q$1:$AJ$2,2)))=1,CONCATENATE("при измерении ",$Q9," ",Z$6," не допускается ! "),"")</f>
      </c>
      <c r="AA9" s="621">
        <f>IF(IF(ISNA(INDEX(СГИ!$Q$3:$AJ$22,VLOOKUP($Q9,СГИ!$O$3:$P$22,2),HLOOKUP(AA$6,СГИ!$Q$1:$AJ$2,2))),"",INDEX(СГИ!$Q$3:$AJ$22,VLOOKUP($Q9,СГИ!$O$3:$P$22,2),HLOOKUP(AA$6,СГИ!$Q$1:$AJ$2,2)))=1,CONCATENATE("при измерении ",$Q9," ",AA$6," не допускается ! "),"")</f>
      </c>
      <c r="AB9" s="621">
        <f>IF(IF(ISNA(INDEX(СГИ!$Q$3:$AJ$22,VLOOKUP($Q9,СГИ!$O$3:$P$22,2),HLOOKUP(AB$6,СГИ!$Q$1:$AJ$2,2))),"",INDEX(СГИ!$Q$3:$AJ$22,VLOOKUP($Q9,СГИ!$O$3:$P$22,2),HLOOKUP(AB$6,СГИ!$Q$1:$AJ$2,2)))=1,CONCATENATE("при измерении ",$Q9," ",AB$6," не допускается ! "),"")</f>
      </c>
      <c r="AC9" s="621">
        <f>IF(IF(ISNA(INDEX(СГИ!$Q$3:$AJ$22,VLOOKUP($Q9,СГИ!$O$3:$P$22,2),HLOOKUP(AC$6,СГИ!$Q$1:$AJ$2,2))),"",INDEX(СГИ!$Q$3:$AJ$22,VLOOKUP($Q9,СГИ!$O$3:$P$22,2),HLOOKUP(AC$6,СГИ!$Q$1:$AJ$2,2)))=1,CONCATENATE("при измерении ",$Q9," ",AC$6," не допускается ! "),"")</f>
      </c>
      <c r="AD9" s="621">
        <f>IF(IF(ISNA(INDEX(СГИ!$Q$3:$AJ$22,VLOOKUP($Q9,СГИ!$O$3:$P$22,2),HLOOKUP(AD$6,СГИ!$Q$1:$AJ$2,2))),"",INDEX(СГИ!$Q$3:$AJ$22,VLOOKUP($Q9,СГИ!$O$3:$P$22,2),HLOOKUP(AD$6,СГИ!$Q$1:$AJ$2,2)))=1,CONCATENATE("при измерении ",$Q9," ",AD$6," не допускается ! "),"")</f>
      </c>
      <c r="AE9" s="621">
        <f>IF(IF(ISNA(INDEX(СГИ!$Q$3:$AJ$22,VLOOKUP($Q9,СГИ!$O$3:$P$22,2),HLOOKUP(AE$6,СГИ!$Q$1:$AJ$2,2))),"",INDEX(СГИ!$Q$3:$AJ$22,VLOOKUP($Q9,СГИ!$O$3:$P$22,2),HLOOKUP(AE$6,СГИ!$Q$1:$AJ$2,2)))=1,CONCATENATE("при измерении ",$Q9," ",AE$6," не допускается ! "),"")</f>
      </c>
      <c r="AF9" s="621">
        <f>IF(IF(ISNA(INDEX(СГИ!$Q$3:$AJ$22,VLOOKUP($Q9,СГИ!$O$3:$P$22,2),HLOOKUP(AF$6,СГИ!$Q$1:$AJ$2,2))),"",INDEX(СГИ!$Q$3:$AJ$22,VLOOKUP($Q9,СГИ!$O$3:$P$22,2),HLOOKUP(AF$6,СГИ!$Q$1:$AJ$2,2)))=1,CONCATENATE("при измерении ",$Q9," ",AF$6," не допускается ! "),"")</f>
      </c>
      <c r="AG9" s="621">
        <f>IF(IF(ISNA(INDEX(СГИ!$Q$3:$AJ$22,VLOOKUP($Q9,СГИ!$O$3:$P$22,2),HLOOKUP(AG$6,СГИ!$Q$1:$AJ$2,2))),"",INDEX(СГИ!$Q$3:$AJ$22,VLOOKUP($Q9,СГИ!$O$3:$P$22,2),HLOOKUP(AG$6,СГИ!$Q$1:$AJ$2,2)))=1,CONCATENATE("при измерении ",$Q9," ",AG$6," не допускается ! "),"")</f>
      </c>
      <c r="AH9" s="621">
        <f>IF(IF(ISNA(INDEX(СГИ!$Q$3:$AJ$22,VLOOKUP($Q9,СГИ!$O$3:$P$22,2),HLOOKUP(AH$6,СГИ!$Q$1:$AJ$2,2))),"",INDEX(СГИ!$Q$3:$AJ$22,VLOOKUP($Q9,СГИ!$O$3:$P$22,2),HLOOKUP(AH$6,СГИ!$Q$1:$AJ$2,2)))=1,CONCATENATE("при измерении ",$Q9," ",AH$6," не допускается ! "),"")</f>
      </c>
      <c r="AI9" s="649">
        <f>IF(IF(ISNA(INDEX(СГИ!$Q$3:$AJ$22,VLOOKUP($Q9,СГИ!$O$3:$P$22,2),HLOOKUP(AI$6,СГИ!$Q$1:$AJ$2,2))),"",INDEX(СГИ!$Q$3:$AJ$22,VLOOKUP($Q9,СГИ!$O$3:$P$22,2),HLOOKUP(AI$6,СГИ!$Q$1:$AJ$2,2)))=1,CONCATENATE("при измерении ",$Q9," ",AI$6," не допускается ! "),"")</f>
      </c>
      <c r="AJ9" s="1">
        <f t="shared" si="0"/>
      </c>
      <c r="AL9" s="845" t="s">
        <v>882</v>
      </c>
      <c r="AM9" s="1" t="s">
        <v>880</v>
      </c>
    </row>
    <row r="10" spans="1:39" ht="33" customHeight="1" thickBot="1">
      <c r="A10" s="609" t="str">
        <f>IF('И21,И22-стационарные с вын. БД'!C$23+'И21,И22-стационарные с вын. БД'!C$24&gt;0,CONCATENATE("индикатор",'И21,И22-стационарные с вын. БД'!L$23,'И21,И22-стационарные с вын. БД'!L$24),IF('И21,И22-стационарные с вын. БД'!I$2="","",'И21,И22-стационарные с вын. БД'!I$2))</f>
        <v>Хоббит-Т</v>
      </c>
      <c r="B10" s="536" t="s">
        <v>669</v>
      </c>
      <c r="D10" s="864"/>
      <c r="G10" s="609">
        <f>IF(DCOUNTA('И21,И22-стационарные с вын. БД'!N$6:N$24,'И21,И22-стационарные с вын. БД'!N$6,I$17:I$18)=0,"",$I$12)</f>
      </c>
      <c r="H10" s="885" t="s">
        <v>720</v>
      </c>
      <c r="I10" s="578" t="s">
        <v>569</v>
      </c>
      <c r="J10" s="198"/>
      <c r="K10" s="890" t="s">
        <v>549</v>
      </c>
      <c r="L10" s="899">
        <f>ROUND(IF(SUM('И21,И22-стационарные с вын. БД'!N9:N12)&gt;0,0.05*SUM(L6:L9),0),-1)</f>
        <v>0</v>
      </c>
      <c r="M10" s="906">
        <f>'И21,И22-стационарные с вын. БД'!K10</f>
      </c>
      <c r="N10" s="512">
        <f>IF(SUM('И21,И22-стационарные с вын. БД'!$C$7:$C$24)&gt;8,IF(OR('И21,И22-стационарные с вын. БД'!B10="O3",'И21,И22-стационарные с вын. БД'!B10="F2"),"--",VLOOKUP('И21,И22-стационарные с вын. БД'!B10,СГИ!$A$8:$G$27,IF(N$6=сообщения!I$3,3,4),TRUE)+VLOOKUP('И21,И22-стационарные с вын. БД'!B10,СГИ!$A$8:$G$27,2,TRUE)),VLOOKUP('И21,И22-стационарные с вын. БД'!B10,СГИ!$A$8:$G$27,IF(N$6=сообщения!I$3,3,4),TRUE))</f>
        <v>6880</v>
      </c>
      <c r="O10" s="513">
        <f>IF('И21,И22-стационарные с вын. БД'!M10&gt;0,VLOOKUP(M10,СГИ!$A$8:$G$27,IF(N$6=сообщения!I$3,5,6),TRUE),"")</f>
      </c>
      <c r="Q10" s="648">
        <f>IF(сообщения!M10="","",сообщения!M10)</f>
      </c>
      <c r="R10" s="621">
        <f>IF(IF(ISNA(INDEX(СГИ!$Q$3:$AJ$22,VLOOKUP($Q10,СГИ!$O$3:$P$22,2),HLOOKUP(R$6,СГИ!$Q$1:$AJ$2,2))),"",INDEX(СГИ!$Q$3:$AJ$22,VLOOKUP($Q10,СГИ!$O$3:$P$22,2),HLOOKUP(R$6,СГИ!$Q$1:$AJ$2,2)))=1,CONCATENATE("при измерении ",$Q10," ",R$6," не допускается ! "),"")</f>
      </c>
      <c r="S10" s="621">
        <f>IF(IF(ISNA(INDEX(СГИ!$Q$3:$AJ$22,VLOOKUP($Q10,СГИ!$O$3:$P$22,2),HLOOKUP(S$6,СГИ!$Q$1:$AJ$2,2))),"",INDEX(СГИ!$Q$3:$AJ$22,VLOOKUP($Q10,СГИ!$O$3:$P$22,2),HLOOKUP(S$6,СГИ!$Q$1:$AJ$2,2)))=1,CONCATENATE("при измерении ",$Q10," ",S$6," не допускается ! "),"")</f>
      </c>
      <c r="T10" s="621">
        <f>IF(IF(ISNA(INDEX(СГИ!$Q$3:$AJ$22,VLOOKUP($Q10,СГИ!$O$3:$P$22,2),HLOOKUP(T$6,СГИ!$Q$1:$AJ$2,2))),"",INDEX(СГИ!$Q$3:$AJ$22,VLOOKUP($Q10,СГИ!$O$3:$P$22,2),HLOOKUP(T$6,СГИ!$Q$1:$AJ$2,2)))=1,CONCATENATE("при измерении ",$Q10," ",T$6," не допускается ! "),"")</f>
      </c>
      <c r="U10" s="621">
        <f>IF(IF(ISNA(INDEX(СГИ!$Q$3:$AJ$22,VLOOKUP($Q10,СГИ!$O$3:$P$22,2),HLOOKUP(U$6,СГИ!$Q$1:$AJ$2,2))),"",INDEX(СГИ!$Q$3:$AJ$22,VLOOKUP($Q10,СГИ!$O$3:$P$22,2),HLOOKUP(U$6,СГИ!$Q$1:$AJ$2,2)))=1,CONCATENATE("при измерении ",$Q10," ",U$6," не допускается ! "),"")</f>
      </c>
      <c r="V10" s="621">
        <f>IF(IF(ISNA(INDEX(СГИ!$Q$3:$AJ$22,VLOOKUP($Q10,СГИ!$O$3:$P$22,2),HLOOKUP(V$6,СГИ!$Q$1:$AJ$2,2))),"",INDEX(СГИ!$Q$3:$AJ$22,VLOOKUP($Q10,СГИ!$O$3:$P$22,2),HLOOKUP(V$6,СГИ!$Q$1:$AJ$2,2)))=1,CONCATENATE("при измерении ",$Q10," ",V$6," не допускается ! "),"")</f>
      </c>
      <c r="W10" s="621">
        <f>IF(IF(ISNA(INDEX(СГИ!$Q$3:$AJ$22,VLOOKUP($Q10,СГИ!$O$3:$P$22,2),HLOOKUP(W$6,СГИ!$Q$1:$AJ$2,2))),"",INDEX(СГИ!$Q$3:$AJ$22,VLOOKUP($Q10,СГИ!$O$3:$P$22,2),HLOOKUP(W$6,СГИ!$Q$1:$AJ$2,2)))=1,CONCATENATE("при измерении ",$Q10," ",W$6," не допускается ! "),"")</f>
      </c>
      <c r="X10" s="621">
        <f>IF(IF(ISNA(INDEX(СГИ!$Q$3:$AJ$22,VLOOKUP($Q10,СГИ!$O$3:$P$22,2),HLOOKUP(X$6,СГИ!$Q$1:$AJ$2,2))),"",INDEX(СГИ!$Q$3:$AJ$22,VLOOKUP($Q10,СГИ!$O$3:$P$22,2),HLOOKUP(X$6,СГИ!$Q$1:$AJ$2,2)))=1,CONCATENATE("при измерении ",$Q10," ",X$6," не допускается ! "),"")</f>
      </c>
      <c r="Y10" s="621">
        <f>IF(IF(ISNA(INDEX(СГИ!$Q$3:$AJ$22,VLOOKUP($Q10,СГИ!$O$3:$P$22,2),HLOOKUP(Y$6,СГИ!$Q$1:$AJ$2,2))),"",INDEX(СГИ!$Q$3:$AJ$22,VLOOKUP($Q10,СГИ!$O$3:$P$22,2),HLOOKUP(Y$6,СГИ!$Q$1:$AJ$2,2)))=1,CONCATENATE("при измерении ",$Q10," ",Y$6," не допускается ! "),"")</f>
      </c>
      <c r="Z10" s="621">
        <f>IF(IF(ISNA(INDEX(СГИ!$Q$3:$AJ$22,VLOOKUP($Q10,СГИ!$O$3:$P$22,2),HLOOKUP(Z$6,СГИ!$Q$1:$AJ$2,2))),"",INDEX(СГИ!$Q$3:$AJ$22,VLOOKUP($Q10,СГИ!$O$3:$P$22,2),HLOOKUP(Z$6,СГИ!$Q$1:$AJ$2,2)))=1,CONCATENATE("при измерении ",$Q10," ",Z$6," не допускается ! "),"")</f>
      </c>
      <c r="AA10" s="621">
        <f>IF(IF(ISNA(INDEX(СГИ!$Q$3:$AJ$22,VLOOKUP($Q10,СГИ!$O$3:$P$22,2),HLOOKUP(AA$6,СГИ!$Q$1:$AJ$2,2))),"",INDEX(СГИ!$Q$3:$AJ$22,VLOOKUP($Q10,СГИ!$O$3:$P$22,2),HLOOKUP(AA$6,СГИ!$Q$1:$AJ$2,2)))=1,CONCATENATE("при измерении ",$Q10," ",AA$6," не допускается ! "),"")</f>
      </c>
      <c r="AB10" s="621">
        <f>IF(IF(ISNA(INDEX(СГИ!$Q$3:$AJ$22,VLOOKUP($Q10,СГИ!$O$3:$P$22,2),HLOOKUP(AB$6,СГИ!$Q$1:$AJ$2,2))),"",INDEX(СГИ!$Q$3:$AJ$22,VLOOKUP($Q10,СГИ!$O$3:$P$22,2),HLOOKUP(AB$6,СГИ!$Q$1:$AJ$2,2)))=1,CONCATENATE("при измерении ",$Q10," ",AB$6," не допускается ! "),"")</f>
      </c>
      <c r="AC10" s="621">
        <f>IF(IF(ISNA(INDEX(СГИ!$Q$3:$AJ$22,VLOOKUP($Q10,СГИ!$O$3:$P$22,2),HLOOKUP(AC$6,СГИ!$Q$1:$AJ$2,2))),"",INDEX(СГИ!$Q$3:$AJ$22,VLOOKUP($Q10,СГИ!$O$3:$P$22,2),HLOOKUP(AC$6,СГИ!$Q$1:$AJ$2,2)))=1,CONCATENATE("при измерении ",$Q10," ",AC$6," не допускается ! "),"")</f>
      </c>
      <c r="AD10" s="621">
        <f>IF(IF(ISNA(INDEX(СГИ!$Q$3:$AJ$22,VLOOKUP($Q10,СГИ!$O$3:$P$22,2),HLOOKUP(AD$6,СГИ!$Q$1:$AJ$2,2))),"",INDEX(СГИ!$Q$3:$AJ$22,VLOOKUP($Q10,СГИ!$O$3:$P$22,2),HLOOKUP(AD$6,СГИ!$Q$1:$AJ$2,2)))=1,CONCATENATE("при измерении ",$Q10," ",AD$6," не допускается ! "),"")</f>
      </c>
      <c r="AE10" s="621">
        <f>IF(IF(ISNA(INDEX(СГИ!$Q$3:$AJ$22,VLOOKUP($Q10,СГИ!$O$3:$P$22,2),HLOOKUP(AE$6,СГИ!$Q$1:$AJ$2,2))),"",INDEX(СГИ!$Q$3:$AJ$22,VLOOKUP($Q10,СГИ!$O$3:$P$22,2),HLOOKUP(AE$6,СГИ!$Q$1:$AJ$2,2)))=1,CONCATENATE("при измерении ",$Q10," ",AE$6," не допускается ! "),"")</f>
      </c>
      <c r="AF10" s="621">
        <f>IF(IF(ISNA(INDEX(СГИ!$Q$3:$AJ$22,VLOOKUP($Q10,СГИ!$O$3:$P$22,2),HLOOKUP(AF$6,СГИ!$Q$1:$AJ$2,2))),"",INDEX(СГИ!$Q$3:$AJ$22,VLOOKUP($Q10,СГИ!$O$3:$P$22,2),HLOOKUP(AF$6,СГИ!$Q$1:$AJ$2,2)))=1,CONCATENATE("при измерении ",$Q10," ",AF$6," не допускается ! "),"")</f>
      </c>
      <c r="AG10" s="621">
        <f>IF(IF(ISNA(INDEX(СГИ!$Q$3:$AJ$22,VLOOKUP($Q10,СГИ!$O$3:$P$22,2),HLOOKUP(AG$6,СГИ!$Q$1:$AJ$2,2))),"",INDEX(СГИ!$Q$3:$AJ$22,VLOOKUP($Q10,СГИ!$O$3:$P$22,2),HLOOKUP(AG$6,СГИ!$Q$1:$AJ$2,2)))=1,CONCATENATE("при измерении ",$Q10," ",AG$6," не допускается ! "),"")</f>
      </c>
      <c r="AH10" s="621">
        <f>IF(IF(ISNA(INDEX(СГИ!$Q$3:$AJ$22,VLOOKUP($Q10,СГИ!$O$3:$P$22,2),HLOOKUP(AH$6,СГИ!$Q$1:$AJ$2,2))),"",INDEX(СГИ!$Q$3:$AJ$22,VLOOKUP($Q10,СГИ!$O$3:$P$22,2),HLOOKUP(AH$6,СГИ!$Q$1:$AJ$2,2)))=1,CONCATENATE("при измерении ",$Q10," ",AH$6," не допускается ! "),"")</f>
      </c>
      <c r="AI10" s="649">
        <f>IF(IF(ISNA(INDEX(СГИ!$Q$3:$AJ$22,VLOOKUP($Q10,СГИ!$O$3:$P$22,2),HLOOKUP(AI$6,СГИ!$Q$1:$AJ$2,2))),"",INDEX(СГИ!$Q$3:$AJ$22,VLOOKUP($Q10,СГИ!$O$3:$P$22,2),HLOOKUP(AI$6,СГИ!$Q$1:$AJ$2,2)))=1,CONCATENATE("при измерении ",$Q10," ",AI$6," не допускается ! "),"")</f>
      </c>
      <c r="AJ10" s="1">
        <f t="shared" si="0"/>
      </c>
      <c r="AL10" s="845" t="s">
        <v>813</v>
      </c>
      <c r="AM10" s="967" t="s">
        <v>814</v>
      </c>
    </row>
    <row r="11" spans="9:39" ht="33" customHeight="1" thickBot="1">
      <c r="I11" s="578" t="s">
        <v>615</v>
      </c>
      <c r="J11" s="1"/>
      <c r="K11" s="890" t="s">
        <v>350</v>
      </c>
      <c r="L11" s="899">
        <f>IF(NOT('И21,И22-стационарные с вын. БД'!I8="взрывозащита НЕ предусмотрена"),СГИ!$D$29*SUM('И21,И22-стационарные с вын. БД'!N7:N24)+СГИ!$D$30*ROUNDUP(SUM('И21,И22-стационарные с вын. БД'!N7:N24)/4,0),0)</f>
        <v>0</v>
      </c>
      <c r="M11" s="906">
        <f>'И21,И22-стационарные с вын. БД'!K11</f>
      </c>
      <c r="N11" s="512">
        <f>IF(SUM('И21,И22-стационарные с вын. БД'!$C$7:$C$24)&gt;8,IF(OR('И21,И22-стационарные с вын. БД'!B11="O3",'И21,И22-стационарные с вын. БД'!B11="F2"),"--",VLOOKUP('И21,И22-стационарные с вын. БД'!B11,СГИ!$A$8:$G$27,IF(N$6=сообщения!I$3,3,4),TRUE)+VLOOKUP('И21,И22-стационарные с вын. БД'!B11,СГИ!$A$8:$G$27,2,TRUE)),VLOOKUP('И21,И22-стационарные с вын. БД'!B11,СГИ!$A$8:$G$27,IF(N$6=сообщения!I$3,3,4),TRUE))</f>
        <v>8460</v>
      </c>
      <c r="O11" s="513">
        <f>IF('И21,И22-стационарные с вын. БД'!M11&gt;0,VLOOKUP(M11,СГИ!$A$8:$G$27,IF(N$6=сообщения!I$3,5,6),TRUE),"")</f>
      </c>
      <c r="Q11" s="648">
        <f>IF(сообщения!M11="","",сообщения!M11)</f>
      </c>
      <c r="R11" s="621">
        <f>IF(IF(ISNA(INDEX(СГИ!$Q$3:$AJ$22,VLOOKUP($Q11,СГИ!$O$3:$P$22,2),HLOOKUP(R$6,СГИ!$Q$1:$AJ$2,2))),"",INDEX(СГИ!$Q$3:$AJ$22,VLOOKUP($Q11,СГИ!$O$3:$P$22,2),HLOOKUP(R$6,СГИ!$Q$1:$AJ$2,2)))=1,CONCATENATE("при измерении ",$Q11," ",R$6," не допускается ! "),"")</f>
      </c>
      <c r="S11" s="621">
        <f>IF(IF(ISNA(INDEX(СГИ!$Q$3:$AJ$22,VLOOKUP($Q11,СГИ!$O$3:$P$22,2),HLOOKUP(S$6,СГИ!$Q$1:$AJ$2,2))),"",INDEX(СГИ!$Q$3:$AJ$22,VLOOKUP($Q11,СГИ!$O$3:$P$22,2),HLOOKUP(S$6,СГИ!$Q$1:$AJ$2,2)))=1,CONCATENATE("при измерении ",$Q11," ",S$6," не допускается ! "),"")</f>
      </c>
      <c r="T11" s="621">
        <f>IF(IF(ISNA(INDEX(СГИ!$Q$3:$AJ$22,VLOOKUP($Q11,СГИ!$O$3:$P$22,2),HLOOKUP(T$6,СГИ!$Q$1:$AJ$2,2))),"",INDEX(СГИ!$Q$3:$AJ$22,VLOOKUP($Q11,СГИ!$O$3:$P$22,2),HLOOKUP(T$6,СГИ!$Q$1:$AJ$2,2)))=1,CONCATENATE("при измерении ",$Q11," ",T$6," не допускается ! "),"")</f>
      </c>
      <c r="U11" s="621">
        <f>IF(IF(ISNA(INDEX(СГИ!$Q$3:$AJ$22,VLOOKUP($Q11,СГИ!$O$3:$P$22,2),HLOOKUP(U$6,СГИ!$Q$1:$AJ$2,2))),"",INDEX(СГИ!$Q$3:$AJ$22,VLOOKUP($Q11,СГИ!$O$3:$P$22,2),HLOOKUP(U$6,СГИ!$Q$1:$AJ$2,2)))=1,CONCATENATE("при измерении ",$Q11," ",U$6," не допускается ! "),"")</f>
      </c>
      <c r="V11" s="621">
        <f>IF(IF(ISNA(INDEX(СГИ!$Q$3:$AJ$22,VLOOKUP($Q11,СГИ!$O$3:$P$22,2),HLOOKUP(V$6,СГИ!$Q$1:$AJ$2,2))),"",INDEX(СГИ!$Q$3:$AJ$22,VLOOKUP($Q11,СГИ!$O$3:$P$22,2),HLOOKUP(V$6,СГИ!$Q$1:$AJ$2,2)))=1,CONCATENATE("при измерении ",$Q11," ",V$6," не допускается ! "),"")</f>
      </c>
      <c r="W11" s="621">
        <f>IF(IF(ISNA(INDEX(СГИ!$Q$3:$AJ$22,VLOOKUP($Q11,СГИ!$O$3:$P$22,2),HLOOKUP(W$6,СГИ!$Q$1:$AJ$2,2))),"",INDEX(СГИ!$Q$3:$AJ$22,VLOOKUP($Q11,СГИ!$O$3:$P$22,2),HLOOKUP(W$6,СГИ!$Q$1:$AJ$2,2)))=1,CONCATENATE("при измерении ",$Q11," ",W$6," не допускается ! "),"")</f>
      </c>
      <c r="X11" s="621">
        <f>IF(IF(ISNA(INDEX(СГИ!$Q$3:$AJ$22,VLOOKUP($Q11,СГИ!$O$3:$P$22,2),HLOOKUP(X$6,СГИ!$Q$1:$AJ$2,2))),"",INDEX(СГИ!$Q$3:$AJ$22,VLOOKUP($Q11,СГИ!$O$3:$P$22,2),HLOOKUP(X$6,СГИ!$Q$1:$AJ$2,2)))=1,CONCATENATE("при измерении ",$Q11," ",X$6," не допускается ! "),"")</f>
      </c>
      <c r="Y11" s="621">
        <f>IF(IF(ISNA(INDEX(СГИ!$Q$3:$AJ$22,VLOOKUP($Q11,СГИ!$O$3:$P$22,2),HLOOKUP(Y$6,СГИ!$Q$1:$AJ$2,2))),"",INDEX(СГИ!$Q$3:$AJ$22,VLOOKUP($Q11,СГИ!$O$3:$P$22,2),HLOOKUP(Y$6,СГИ!$Q$1:$AJ$2,2)))=1,CONCATENATE("при измерении ",$Q11," ",Y$6," не допускается ! "),"")</f>
      </c>
      <c r="Z11" s="621">
        <f>IF(IF(ISNA(INDEX(СГИ!$Q$3:$AJ$22,VLOOKUP($Q11,СГИ!$O$3:$P$22,2),HLOOKUP(Z$6,СГИ!$Q$1:$AJ$2,2))),"",INDEX(СГИ!$Q$3:$AJ$22,VLOOKUP($Q11,СГИ!$O$3:$P$22,2),HLOOKUP(Z$6,СГИ!$Q$1:$AJ$2,2)))=1,CONCATENATE("при измерении ",$Q11," ",Z$6," не допускается ! "),"")</f>
      </c>
      <c r="AA11" s="621">
        <f>IF(IF(ISNA(INDEX(СГИ!$Q$3:$AJ$22,VLOOKUP($Q11,СГИ!$O$3:$P$22,2),HLOOKUP(AA$6,СГИ!$Q$1:$AJ$2,2))),"",INDEX(СГИ!$Q$3:$AJ$22,VLOOKUP($Q11,СГИ!$O$3:$P$22,2),HLOOKUP(AA$6,СГИ!$Q$1:$AJ$2,2)))=1,CONCATENATE("при измерении ",$Q11," ",AA$6," не допускается ! "),"")</f>
      </c>
      <c r="AB11" s="621">
        <f>IF(IF(ISNA(INDEX(СГИ!$Q$3:$AJ$22,VLOOKUP($Q11,СГИ!$O$3:$P$22,2),HLOOKUP(AB$6,СГИ!$Q$1:$AJ$2,2))),"",INDEX(СГИ!$Q$3:$AJ$22,VLOOKUP($Q11,СГИ!$O$3:$P$22,2),HLOOKUP(AB$6,СГИ!$Q$1:$AJ$2,2)))=1,CONCATENATE("при измерении ",$Q11," ",AB$6," не допускается ! "),"")</f>
      </c>
      <c r="AC11" s="621">
        <f>IF(IF(ISNA(INDEX(СГИ!$Q$3:$AJ$22,VLOOKUP($Q11,СГИ!$O$3:$P$22,2),HLOOKUP(AC$6,СГИ!$Q$1:$AJ$2,2))),"",INDEX(СГИ!$Q$3:$AJ$22,VLOOKUP($Q11,СГИ!$O$3:$P$22,2),HLOOKUP(AC$6,СГИ!$Q$1:$AJ$2,2)))=1,CONCATENATE("при измерении ",$Q11," ",AC$6," не допускается ! "),"")</f>
      </c>
      <c r="AD11" s="621">
        <f>IF(IF(ISNA(INDEX(СГИ!$Q$3:$AJ$22,VLOOKUP($Q11,СГИ!$O$3:$P$22,2),HLOOKUP(AD$6,СГИ!$Q$1:$AJ$2,2))),"",INDEX(СГИ!$Q$3:$AJ$22,VLOOKUP($Q11,СГИ!$O$3:$P$22,2),HLOOKUP(AD$6,СГИ!$Q$1:$AJ$2,2)))=1,CONCATENATE("при измерении ",$Q11," ",AD$6," не допускается ! "),"")</f>
      </c>
      <c r="AE11" s="621">
        <f>IF(IF(ISNA(INDEX(СГИ!$Q$3:$AJ$22,VLOOKUP($Q11,СГИ!$O$3:$P$22,2),HLOOKUP(AE$6,СГИ!$Q$1:$AJ$2,2))),"",INDEX(СГИ!$Q$3:$AJ$22,VLOOKUP($Q11,СГИ!$O$3:$P$22,2),HLOOKUP(AE$6,СГИ!$Q$1:$AJ$2,2)))=1,CONCATENATE("при измерении ",$Q11," ",AE$6," не допускается ! "),"")</f>
      </c>
      <c r="AF11" s="621">
        <f>IF(IF(ISNA(INDEX(СГИ!$Q$3:$AJ$22,VLOOKUP($Q11,СГИ!$O$3:$P$22,2),HLOOKUP(AF$6,СГИ!$Q$1:$AJ$2,2))),"",INDEX(СГИ!$Q$3:$AJ$22,VLOOKUP($Q11,СГИ!$O$3:$P$22,2),HLOOKUP(AF$6,СГИ!$Q$1:$AJ$2,2)))=1,CONCATENATE("при измерении ",$Q11," ",AF$6," не допускается ! "),"")</f>
      </c>
      <c r="AG11" s="621">
        <f>IF(IF(ISNA(INDEX(СГИ!$Q$3:$AJ$22,VLOOKUP($Q11,СГИ!$O$3:$P$22,2),HLOOKUP(AG$6,СГИ!$Q$1:$AJ$2,2))),"",INDEX(СГИ!$Q$3:$AJ$22,VLOOKUP($Q11,СГИ!$O$3:$P$22,2),HLOOKUP(AG$6,СГИ!$Q$1:$AJ$2,2)))=1,CONCATENATE("при измерении ",$Q11," ",AG$6," не допускается ! "),"")</f>
      </c>
      <c r="AH11" s="621">
        <f>IF(IF(ISNA(INDEX(СГИ!$Q$3:$AJ$22,VLOOKUP($Q11,СГИ!$O$3:$P$22,2),HLOOKUP(AH$6,СГИ!$Q$1:$AJ$2,2))),"",INDEX(СГИ!$Q$3:$AJ$22,VLOOKUP($Q11,СГИ!$O$3:$P$22,2),HLOOKUP(AH$6,СГИ!$Q$1:$AJ$2,2)))=1,CONCATENATE("при измерении ",$Q11," ",AH$6," не допускается ! "),"")</f>
      </c>
      <c r="AI11" s="649">
        <f>IF(IF(ISNA(INDEX(СГИ!$Q$3:$AJ$22,VLOOKUP($Q11,СГИ!$O$3:$P$22,2),HLOOKUP(AI$6,СГИ!$Q$1:$AJ$2,2))),"",INDEX(СГИ!$Q$3:$AJ$22,VLOOKUP($Q11,СГИ!$O$3:$P$22,2),HLOOKUP(AI$6,СГИ!$Q$1:$AJ$2,2)))=1,CONCATENATE("при измерении ",$Q11," ",AI$6," не допускается ! "),"")</f>
      </c>
      <c r="AJ11" s="1">
        <f t="shared" si="0"/>
      </c>
      <c r="AL11" s="845" t="s">
        <v>626</v>
      </c>
      <c r="AM11" s="1" t="s">
        <v>620</v>
      </c>
    </row>
    <row r="12" spans="1:39" ht="33" customHeight="1" thickBot="1">
      <c r="A12" s="865" t="s">
        <v>708</v>
      </c>
      <c r="B12" s="868" t="s">
        <v>672</v>
      </c>
      <c r="C12" s="865" t="s">
        <v>702</v>
      </c>
      <c r="D12" s="878" t="s">
        <v>672</v>
      </c>
      <c r="E12" s="877" t="s">
        <v>711</v>
      </c>
      <c r="F12" s="878" t="s">
        <v>672</v>
      </c>
      <c r="G12" s="865" t="s">
        <v>723</v>
      </c>
      <c r="H12" s="883" t="s">
        <v>672</v>
      </c>
      <c r="I12" s="879" t="s">
        <v>568</v>
      </c>
      <c r="J12" s="1"/>
      <c r="K12" s="890" t="str">
        <f>CONCATENATE("наценка за гирлянду                        (",M27," р. за канал):")</f>
        <v>наценка за гирлянду                        ( р. за канал):</v>
      </c>
      <c r="L12" s="899">
        <f>ТС!B10</f>
        <v>0</v>
      </c>
      <c r="M12" s="906">
        <f>'И21,И22-стационарные с вын. БД'!K12</f>
      </c>
      <c r="N12" s="512">
        <f>IF(SUM('И21,И22-стационарные с вын. БД'!$C$7:$C$24)&gt;8,IF(OR('И21,И22-стационарные с вын. БД'!B12="O3",'И21,И22-стационарные с вын. БД'!B12="F2"),"--",VLOOKUP('И21,И22-стационарные с вын. БД'!B12,СГИ!$A$8:$G$27,IF(N$6=сообщения!I$3,3,4),TRUE)+VLOOKUP('И21,И22-стационарные с вын. БД'!B12,СГИ!$A$8:$G$27,2,TRUE)),VLOOKUP('И21,И22-стационарные с вын. БД'!B12,СГИ!$A$8:$G$27,IF(N$6=сообщения!I$3,3,4),TRUE))</f>
        <v>8460</v>
      </c>
      <c r="O12" s="513">
        <f>IF('И21,И22-стационарные с вын. БД'!M12&gt;0,VLOOKUP(M12,СГИ!$A$8:$G$27,IF(N$6=сообщения!I$3,5,6),TRUE),"")</f>
      </c>
      <c r="P12">
        <f>DCOUNTA('И21,И22-стационарные с вын. БД'!N$6:N$24,'И21,И22-стационарные с вын. БД'!N$6,I$17:I$18)</f>
        <v>0</v>
      </c>
      <c r="Q12" s="648">
        <f>IF(сообщения!M12="","",сообщения!M12)</f>
      </c>
      <c r="R12" s="621">
        <f>IF(IF(ISNA(INDEX(СГИ!$Q$3:$AJ$22,VLOOKUP($Q12,СГИ!$O$3:$P$22,2),HLOOKUP(R$6,СГИ!$Q$1:$AJ$2,2))),"",INDEX(СГИ!$Q$3:$AJ$22,VLOOKUP($Q12,СГИ!$O$3:$P$22,2),HLOOKUP(R$6,СГИ!$Q$1:$AJ$2,2)))=1,CONCATENATE("при измерении ",$Q12," ",R$6," не допускается ! "),"")</f>
      </c>
      <c r="S12" s="621">
        <f>IF(IF(ISNA(INDEX(СГИ!$Q$3:$AJ$22,VLOOKUP($Q12,СГИ!$O$3:$P$22,2),HLOOKUP(S$6,СГИ!$Q$1:$AJ$2,2))),"",INDEX(СГИ!$Q$3:$AJ$22,VLOOKUP($Q12,СГИ!$O$3:$P$22,2),HLOOKUP(S$6,СГИ!$Q$1:$AJ$2,2)))=1,CONCATENATE("при измерении ",$Q12," ",S$6," не допускается ! "),"")</f>
      </c>
      <c r="T12" s="621">
        <f>IF(IF(ISNA(INDEX(СГИ!$Q$3:$AJ$22,VLOOKUP($Q12,СГИ!$O$3:$P$22,2),HLOOKUP(T$6,СГИ!$Q$1:$AJ$2,2))),"",INDEX(СГИ!$Q$3:$AJ$22,VLOOKUP($Q12,СГИ!$O$3:$P$22,2),HLOOKUP(T$6,СГИ!$Q$1:$AJ$2,2)))=1,CONCATENATE("при измерении ",$Q12," ",T$6," не допускается ! "),"")</f>
      </c>
      <c r="U12" s="621">
        <f>IF(IF(ISNA(INDEX(СГИ!$Q$3:$AJ$22,VLOOKUP($Q12,СГИ!$O$3:$P$22,2),HLOOKUP(U$6,СГИ!$Q$1:$AJ$2,2))),"",INDEX(СГИ!$Q$3:$AJ$22,VLOOKUP($Q12,СГИ!$O$3:$P$22,2),HLOOKUP(U$6,СГИ!$Q$1:$AJ$2,2)))=1,CONCATENATE("при измерении ",$Q12," ",U$6," не допускается ! "),"")</f>
      </c>
      <c r="V12" s="621">
        <f>IF(IF(ISNA(INDEX(СГИ!$Q$3:$AJ$22,VLOOKUP($Q12,СГИ!$O$3:$P$22,2),HLOOKUP(V$6,СГИ!$Q$1:$AJ$2,2))),"",INDEX(СГИ!$Q$3:$AJ$22,VLOOKUP($Q12,СГИ!$O$3:$P$22,2),HLOOKUP(V$6,СГИ!$Q$1:$AJ$2,2)))=1,CONCATENATE("при измерении ",$Q12," ",V$6," не допускается ! "),"")</f>
      </c>
      <c r="W12" s="621">
        <f>IF(IF(ISNA(INDEX(СГИ!$Q$3:$AJ$22,VLOOKUP($Q12,СГИ!$O$3:$P$22,2),HLOOKUP(W$6,СГИ!$Q$1:$AJ$2,2))),"",INDEX(СГИ!$Q$3:$AJ$22,VLOOKUP($Q12,СГИ!$O$3:$P$22,2),HLOOKUP(W$6,СГИ!$Q$1:$AJ$2,2)))=1,CONCATENATE("при измерении ",$Q12," ",W$6," не допускается ! "),"")</f>
      </c>
      <c r="X12" s="621">
        <f>IF(IF(ISNA(INDEX(СГИ!$Q$3:$AJ$22,VLOOKUP($Q12,СГИ!$O$3:$P$22,2),HLOOKUP(X$6,СГИ!$Q$1:$AJ$2,2))),"",INDEX(СГИ!$Q$3:$AJ$22,VLOOKUP($Q12,СГИ!$O$3:$P$22,2),HLOOKUP(X$6,СГИ!$Q$1:$AJ$2,2)))=1,CONCATENATE("при измерении ",$Q12," ",X$6," не допускается ! "),"")</f>
      </c>
      <c r="Y12" s="621">
        <f>IF(IF(ISNA(INDEX(СГИ!$Q$3:$AJ$22,VLOOKUP($Q12,СГИ!$O$3:$P$22,2),HLOOKUP(Y$6,СГИ!$Q$1:$AJ$2,2))),"",INDEX(СГИ!$Q$3:$AJ$22,VLOOKUP($Q12,СГИ!$O$3:$P$22,2),HLOOKUP(Y$6,СГИ!$Q$1:$AJ$2,2)))=1,CONCATENATE("при измерении ",$Q12," ",Y$6," не допускается ! "),"")</f>
      </c>
      <c r="Z12" s="621">
        <f>IF(IF(ISNA(INDEX(СГИ!$Q$3:$AJ$22,VLOOKUP($Q12,СГИ!$O$3:$P$22,2),HLOOKUP(Z$6,СГИ!$Q$1:$AJ$2,2))),"",INDEX(СГИ!$Q$3:$AJ$22,VLOOKUP($Q12,СГИ!$O$3:$P$22,2),HLOOKUP(Z$6,СГИ!$Q$1:$AJ$2,2)))=1,CONCATENATE("при измерении ",$Q12," ",Z$6," не допускается ! "),"")</f>
      </c>
      <c r="AA12" s="621">
        <f>IF(IF(ISNA(INDEX(СГИ!$Q$3:$AJ$22,VLOOKUP($Q12,СГИ!$O$3:$P$22,2),HLOOKUP(AA$6,СГИ!$Q$1:$AJ$2,2))),"",INDEX(СГИ!$Q$3:$AJ$22,VLOOKUP($Q12,СГИ!$O$3:$P$22,2),HLOOKUP(AA$6,СГИ!$Q$1:$AJ$2,2)))=1,CONCATENATE("при измерении ",$Q12," ",AA$6," не допускается ! "),"")</f>
      </c>
      <c r="AB12" s="621">
        <f>IF(IF(ISNA(INDEX(СГИ!$Q$3:$AJ$22,VLOOKUP($Q12,СГИ!$O$3:$P$22,2),HLOOKUP(AB$6,СГИ!$Q$1:$AJ$2,2))),"",INDEX(СГИ!$Q$3:$AJ$22,VLOOKUP($Q12,СГИ!$O$3:$P$22,2),HLOOKUP(AB$6,СГИ!$Q$1:$AJ$2,2)))=1,CONCATENATE("при измерении ",$Q12," ",AB$6," не допускается ! "),"")</f>
      </c>
      <c r="AC12" s="621">
        <f>IF(IF(ISNA(INDEX(СГИ!$Q$3:$AJ$22,VLOOKUP($Q12,СГИ!$O$3:$P$22,2),HLOOKUP(AC$6,СГИ!$Q$1:$AJ$2,2))),"",INDEX(СГИ!$Q$3:$AJ$22,VLOOKUP($Q12,СГИ!$O$3:$P$22,2),HLOOKUP(AC$6,СГИ!$Q$1:$AJ$2,2)))=1,CONCATENATE("при измерении ",$Q12," ",AC$6," не допускается ! "),"")</f>
      </c>
      <c r="AD12" s="621">
        <f>IF(IF(ISNA(INDEX(СГИ!$Q$3:$AJ$22,VLOOKUP($Q12,СГИ!$O$3:$P$22,2),HLOOKUP(AD$6,СГИ!$Q$1:$AJ$2,2))),"",INDEX(СГИ!$Q$3:$AJ$22,VLOOKUP($Q12,СГИ!$O$3:$P$22,2),HLOOKUP(AD$6,СГИ!$Q$1:$AJ$2,2)))=1,CONCATENATE("при измерении ",$Q12," ",AD$6," не допускается ! "),"")</f>
      </c>
      <c r="AE12" s="621">
        <f>IF(IF(ISNA(INDEX(СГИ!$Q$3:$AJ$22,VLOOKUP($Q12,СГИ!$O$3:$P$22,2),HLOOKUP(AE$6,СГИ!$Q$1:$AJ$2,2))),"",INDEX(СГИ!$Q$3:$AJ$22,VLOOKUP($Q12,СГИ!$O$3:$P$22,2),HLOOKUP(AE$6,СГИ!$Q$1:$AJ$2,2)))=1,CONCATENATE("при измерении ",$Q12," ",AE$6," не допускается ! "),"")</f>
      </c>
      <c r="AF12" s="621">
        <f>IF(IF(ISNA(INDEX(СГИ!$Q$3:$AJ$22,VLOOKUP($Q12,СГИ!$O$3:$P$22,2),HLOOKUP(AF$6,СГИ!$Q$1:$AJ$2,2))),"",INDEX(СГИ!$Q$3:$AJ$22,VLOOKUP($Q12,СГИ!$O$3:$P$22,2),HLOOKUP(AF$6,СГИ!$Q$1:$AJ$2,2)))=1,CONCATENATE("при измерении ",$Q12," ",AF$6," не допускается ! "),"")</f>
      </c>
      <c r="AG12" s="621">
        <f>IF(IF(ISNA(INDEX(СГИ!$Q$3:$AJ$22,VLOOKUP($Q12,СГИ!$O$3:$P$22,2),HLOOKUP(AG$6,СГИ!$Q$1:$AJ$2,2))),"",INDEX(СГИ!$Q$3:$AJ$22,VLOOKUP($Q12,СГИ!$O$3:$P$22,2),HLOOKUP(AG$6,СГИ!$Q$1:$AJ$2,2)))=1,CONCATENATE("при измерении ",$Q12," ",AG$6," не допускается ! "),"")</f>
      </c>
      <c r="AH12" s="621">
        <f>IF(IF(ISNA(INDEX(СГИ!$Q$3:$AJ$22,VLOOKUP($Q12,СГИ!$O$3:$P$22,2),HLOOKUP(AH$6,СГИ!$Q$1:$AJ$2,2))),"",INDEX(СГИ!$Q$3:$AJ$22,VLOOKUP($Q12,СГИ!$O$3:$P$22,2),HLOOKUP(AH$6,СГИ!$Q$1:$AJ$2,2)))=1,CONCATENATE("при измерении ",$Q12," ",AH$6," не допускается ! "),"")</f>
      </c>
      <c r="AI12" s="649">
        <f>IF(IF(ISNA(INDEX(СГИ!$Q$3:$AJ$22,VLOOKUP($Q12,СГИ!$O$3:$P$22,2),HLOOKUP(AI$6,СГИ!$Q$1:$AJ$2,2))),"",INDEX(СГИ!$Q$3:$AJ$22,VLOOKUP($Q12,СГИ!$O$3:$P$22,2),HLOOKUP(AI$6,СГИ!$Q$1:$AJ$2,2)))=1,CONCATENATE("при измерении ",$Q12," ",AI$6," не допускается ! "),"")</f>
      </c>
      <c r="AJ12" s="1">
        <f t="shared" si="0"/>
      </c>
      <c r="AL12" s="845" t="s">
        <v>627</v>
      </c>
      <c r="AM12" s="1" t="s">
        <v>621</v>
      </c>
    </row>
    <row r="13" spans="1:39" ht="33" customHeight="1" thickBot="1">
      <c r="A13" s="609" t="str">
        <f>IF(C13="",A15,C13)</f>
        <v>Укажите количества каналов измерения выбранных газов </v>
      </c>
      <c r="B13" s="867" t="str">
        <f>CONCATENATE("- ",ADDRESS(7,9,1,1,"стац. с выносн. БД"))</f>
        <v>- 'стац. с выносн. БД'!$I$7</v>
      </c>
      <c r="C13" s="609">
        <f>IF(C15="",IF(C16="",IF(C17="",IF(C18="","",C18),C17),C16),C15)</f>
      </c>
      <c r="D13" s="867" t="str">
        <f>CONCATENATE("- ",ADDRESS(7,9,1,1,"стац. с выносн. БД"))</f>
        <v>- 'стац. с выносн. БД'!$I$7</v>
      </c>
      <c r="E13" s="609" t="str">
        <f>IF(G13="",E15,G13)</f>
        <v>(укажите взрывозащищённые каналы, если необходимо)</v>
      </c>
      <c r="F13" s="867" t="str">
        <f>CONCATENATE("- ",ADDRESS(9,9,1,1,"стац. с выносн. БД"))</f>
        <v>- 'стац. с выносн. БД'!$I$9</v>
      </c>
      <c r="G13" s="609">
        <f>IF(G15="",IF(G16="",IF(G17="",IF(G18="",IF(G19="",IF(G20="",IF(G21="","",G21),G20),G19),G18),G17),G16),G15)</f>
      </c>
      <c r="H13" s="884" t="str">
        <f>CONCATENATE("- ",ADDRESS(9,9,1,1,"стац. с выносн. БД"))</f>
        <v>- 'стац. с выносн. БД'!$I$9</v>
      </c>
      <c r="I13" s="578" t="s">
        <v>565</v>
      </c>
      <c r="J13" s="1"/>
      <c r="K13" s="891" t="str">
        <f>CONCATENATE("наценка за коррозионно-устойчивое исполнение (",L26," р. за канал)")</f>
        <v>наценка за коррозионно-устойчивое исполнение (1100 р. за канал)</v>
      </c>
      <c r="L13" s="900">
        <f>ТС!B16</f>
        <v>0</v>
      </c>
      <c r="M13" s="906">
        <f>'И21,И22-стационарные с вын. БД'!K13</f>
      </c>
      <c r="N13" s="512">
        <f>IF(SUM('И21,И22-стационарные с вын. БД'!$C$7:$C$24)&gt;8,IF(OR('И21,И22-стационарные с вын. БД'!B13="O3",'И21,И22-стационарные с вын. БД'!B13="F2"),"--",VLOOKUP('И21,И22-стационарные с вын. БД'!B13,СГИ!$A$8:$G$27,IF(N$6=сообщения!I$3,3,4),TRUE)+VLOOKUP('И21,И22-стационарные с вын. БД'!B13,СГИ!$A$8:$G$27,2,TRUE)),VLOOKUP('И21,И22-стационарные с вын. БД'!B13,СГИ!$A$8:$G$27,IF(N$6=сообщения!I$3,3,4),TRUE))</f>
        <v>16910</v>
      </c>
      <c r="O13" s="513">
        <f>IF('И21,И22-стационарные с вын. БД'!M13&gt;0,VLOOKUP(M13,СГИ!$A$8:$G$27,IF(N$6=сообщения!I$3,5,6),TRUE),"")</f>
      </c>
      <c r="Q13" s="648">
        <f>IF(сообщения!M13="","",сообщения!M13)</f>
      </c>
      <c r="R13" s="621">
        <f>IF(IF(ISNA(INDEX(СГИ!$Q$3:$AJ$22,VLOOKUP($Q13,СГИ!$O$3:$P$22,2),HLOOKUP(R$6,СГИ!$Q$1:$AJ$2,2))),"",INDEX(СГИ!$Q$3:$AJ$22,VLOOKUP($Q13,СГИ!$O$3:$P$22,2),HLOOKUP(R$6,СГИ!$Q$1:$AJ$2,2)))=1,CONCATENATE("при измерении ",$Q13," ",R$6," не допускается ! "),"")</f>
      </c>
      <c r="S13" s="621">
        <f>IF(IF(ISNA(INDEX(СГИ!$Q$3:$AJ$22,VLOOKUP($Q13,СГИ!$O$3:$P$22,2),HLOOKUP(S$6,СГИ!$Q$1:$AJ$2,2))),"",INDEX(СГИ!$Q$3:$AJ$22,VLOOKUP($Q13,СГИ!$O$3:$P$22,2),HLOOKUP(S$6,СГИ!$Q$1:$AJ$2,2)))=1,CONCATENATE("при измерении ",$Q13," ",S$6," не допускается ! "),"")</f>
      </c>
      <c r="T13" s="621">
        <f>IF(IF(ISNA(INDEX(СГИ!$Q$3:$AJ$22,VLOOKUP($Q13,СГИ!$O$3:$P$22,2),HLOOKUP(T$6,СГИ!$Q$1:$AJ$2,2))),"",INDEX(СГИ!$Q$3:$AJ$22,VLOOKUP($Q13,СГИ!$O$3:$P$22,2),HLOOKUP(T$6,СГИ!$Q$1:$AJ$2,2)))=1,CONCATENATE("при измерении ",$Q13," ",T$6," не допускается ! "),"")</f>
      </c>
      <c r="U13" s="621">
        <f>IF(IF(ISNA(INDEX(СГИ!$Q$3:$AJ$22,VLOOKUP($Q13,СГИ!$O$3:$P$22,2),HLOOKUP(U$6,СГИ!$Q$1:$AJ$2,2))),"",INDEX(СГИ!$Q$3:$AJ$22,VLOOKUP($Q13,СГИ!$O$3:$P$22,2),HLOOKUP(U$6,СГИ!$Q$1:$AJ$2,2)))=1,CONCATENATE("при измерении ",$Q13," ",U$6," не допускается ! "),"")</f>
      </c>
      <c r="V13" s="621">
        <f>IF(IF(ISNA(INDEX(СГИ!$Q$3:$AJ$22,VLOOKUP($Q13,СГИ!$O$3:$P$22,2),HLOOKUP(V$6,СГИ!$Q$1:$AJ$2,2))),"",INDEX(СГИ!$Q$3:$AJ$22,VLOOKUP($Q13,СГИ!$O$3:$P$22,2),HLOOKUP(V$6,СГИ!$Q$1:$AJ$2,2)))=1,CONCATENATE("при измерении ",$Q13," ",V$6," не допускается ! "),"")</f>
      </c>
      <c r="W13" s="621">
        <f>IF(IF(ISNA(INDEX(СГИ!$Q$3:$AJ$22,VLOOKUP($Q13,СГИ!$O$3:$P$22,2),HLOOKUP(W$6,СГИ!$Q$1:$AJ$2,2))),"",INDEX(СГИ!$Q$3:$AJ$22,VLOOKUP($Q13,СГИ!$O$3:$P$22,2),HLOOKUP(W$6,СГИ!$Q$1:$AJ$2,2)))=1,CONCATENATE("при измерении ",$Q13," ",W$6," не допускается ! "),"")</f>
      </c>
      <c r="X13" s="621">
        <f>IF(IF(ISNA(INDEX(СГИ!$Q$3:$AJ$22,VLOOKUP($Q13,СГИ!$O$3:$P$22,2),HLOOKUP(X$6,СГИ!$Q$1:$AJ$2,2))),"",INDEX(СГИ!$Q$3:$AJ$22,VLOOKUP($Q13,СГИ!$O$3:$P$22,2),HLOOKUP(X$6,СГИ!$Q$1:$AJ$2,2)))=1,CONCATENATE("при измерении ",$Q13," ",X$6," не допускается ! "),"")</f>
      </c>
      <c r="Y13" s="621">
        <f>IF(IF(ISNA(INDEX(СГИ!$Q$3:$AJ$22,VLOOKUP($Q13,СГИ!$O$3:$P$22,2),HLOOKUP(Y$6,СГИ!$Q$1:$AJ$2,2))),"",INDEX(СГИ!$Q$3:$AJ$22,VLOOKUP($Q13,СГИ!$O$3:$P$22,2),HLOOKUP(Y$6,СГИ!$Q$1:$AJ$2,2)))=1,CONCATENATE("при измерении ",$Q13," ",Y$6," не допускается ! "),"")</f>
      </c>
      <c r="Z13" s="621">
        <f>IF(IF(ISNA(INDEX(СГИ!$Q$3:$AJ$22,VLOOKUP($Q13,СГИ!$O$3:$P$22,2),HLOOKUP(Z$6,СГИ!$Q$1:$AJ$2,2))),"",INDEX(СГИ!$Q$3:$AJ$22,VLOOKUP($Q13,СГИ!$O$3:$P$22,2),HLOOKUP(Z$6,СГИ!$Q$1:$AJ$2,2)))=1,CONCATENATE("при измерении ",$Q13," ",Z$6," не допускается ! "),"")</f>
      </c>
      <c r="AA13" s="621">
        <f>IF(IF(ISNA(INDEX(СГИ!$Q$3:$AJ$22,VLOOKUP($Q13,СГИ!$O$3:$P$22,2),HLOOKUP(AA$6,СГИ!$Q$1:$AJ$2,2))),"",INDEX(СГИ!$Q$3:$AJ$22,VLOOKUP($Q13,СГИ!$O$3:$P$22,2),HLOOKUP(AA$6,СГИ!$Q$1:$AJ$2,2)))=1,CONCATENATE("при измерении ",$Q13," ",AA$6," не допускается ! "),"")</f>
      </c>
      <c r="AB13" s="621">
        <f>IF(IF(ISNA(INDEX(СГИ!$Q$3:$AJ$22,VLOOKUP($Q13,СГИ!$O$3:$P$22,2),HLOOKUP(AB$6,СГИ!$Q$1:$AJ$2,2))),"",INDEX(СГИ!$Q$3:$AJ$22,VLOOKUP($Q13,СГИ!$O$3:$P$22,2),HLOOKUP(AB$6,СГИ!$Q$1:$AJ$2,2)))=1,CONCATENATE("при измерении ",$Q13," ",AB$6," не допускается ! "),"")</f>
      </c>
      <c r="AC13" s="621">
        <f>IF(IF(ISNA(INDEX(СГИ!$Q$3:$AJ$22,VLOOKUP($Q13,СГИ!$O$3:$P$22,2),HLOOKUP(AC$6,СГИ!$Q$1:$AJ$2,2))),"",INDEX(СГИ!$Q$3:$AJ$22,VLOOKUP($Q13,СГИ!$O$3:$P$22,2),HLOOKUP(AC$6,СГИ!$Q$1:$AJ$2,2)))=1,CONCATENATE("при измерении ",$Q13," ",AC$6," не допускается ! "),"")</f>
      </c>
      <c r="AD13" s="621">
        <f>IF(IF(ISNA(INDEX(СГИ!$Q$3:$AJ$22,VLOOKUP($Q13,СГИ!$O$3:$P$22,2),HLOOKUP(AD$6,СГИ!$Q$1:$AJ$2,2))),"",INDEX(СГИ!$Q$3:$AJ$22,VLOOKUP($Q13,СГИ!$O$3:$P$22,2),HLOOKUP(AD$6,СГИ!$Q$1:$AJ$2,2)))=1,CONCATENATE("при измерении ",$Q13," ",AD$6," не допускается ! "),"")</f>
      </c>
      <c r="AE13" s="621">
        <f>IF(IF(ISNA(INDEX(СГИ!$Q$3:$AJ$22,VLOOKUP($Q13,СГИ!$O$3:$P$22,2),HLOOKUP(AE$6,СГИ!$Q$1:$AJ$2,2))),"",INDEX(СГИ!$Q$3:$AJ$22,VLOOKUP($Q13,СГИ!$O$3:$P$22,2),HLOOKUP(AE$6,СГИ!$Q$1:$AJ$2,2)))=1,CONCATENATE("при измерении ",$Q13," ",AE$6," не допускается ! "),"")</f>
      </c>
      <c r="AF13" s="621">
        <f>IF(IF(ISNA(INDEX(СГИ!$Q$3:$AJ$22,VLOOKUP($Q13,СГИ!$O$3:$P$22,2),HLOOKUP(AF$6,СГИ!$Q$1:$AJ$2,2))),"",INDEX(СГИ!$Q$3:$AJ$22,VLOOKUP($Q13,СГИ!$O$3:$P$22,2),HLOOKUP(AF$6,СГИ!$Q$1:$AJ$2,2)))=1,CONCATENATE("при измерении ",$Q13," ",AF$6," не допускается ! "),"")</f>
      </c>
      <c r="AG13" s="621">
        <f>IF(IF(ISNA(INDEX(СГИ!$Q$3:$AJ$22,VLOOKUP($Q13,СГИ!$O$3:$P$22,2),HLOOKUP(AG$6,СГИ!$Q$1:$AJ$2,2))),"",INDEX(СГИ!$Q$3:$AJ$22,VLOOKUP($Q13,СГИ!$O$3:$P$22,2),HLOOKUP(AG$6,СГИ!$Q$1:$AJ$2,2)))=1,CONCATENATE("при измерении ",$Q13," ",AG$6," не допускается ! "),"")</f>
      </c>
      <c r="AH13" s="621">
        <f>IF(IF(ISNA(INDEX(СГИ!$Q$3:$AJ$22,VLOOKUP($Q13,СГИ!$O$3:$P$22,2),HLOOKUP(AH$6,СГИ!$Q$1:$AJ$2,2))),"",INDEX(СГИ!$Q$3:$AJ$22,VLOOKUP($Q13,СГИ!$O$3:$P$22,2),HLOOKUP(AH$6,СГИ!$Q$1:$AJ$2,2)))=1,CONCATENATE("при измерении ",$Q13," ",AH$6," не допускается ! "),"")</f>
      </c>
      <c r="AI13" s="649">
        <f>IF(IF(ISNA(INDEX(СГИ!$Q$3:$AJ$22,VLOOKUP($Q13,СГИ!$O$3:$P$22,2),HLOOKUP(AI$6,СГИ!$Q$1:$AJ$2,2))),"",INDEX(СГИ!$Q$3:$AJ$22,VLOOKUP($Q13,СГИ!$O$3:$P$22,2),HLOOKUP(AI$6,СГИ!$Q$1:$AJ$2,2)))=1,CONCATENATE("при измерении ",$Q13," ",AI$6," не допускается ! "),"")</f>
      </c>
      <c r="AJ13" s="1">
        <f t="shared" si="0"/>
      </c>
      <c r="AL13" s="845" t="s">
        <v>627</v>
      </c>
      <c r="AM13" s="1" t="s">
        <v>622</v>
      </c>
    </row>
    <row r="14" spans="1:39" ht="33" customHeight="1" thickBot="1">
      <c r="A14" s="869" t="s">
        <v>666</v>
      </c>
      <c r="C14" s="869" t="s">
        <v>704</v>
      </c>
      <c r="E14" s="570" t="s">
        <v>748</v>
      </c>
      <c r="G14" s="869" t="s">
        <v>724</v>
      </c>
      <c r="I14" s="578" t="s">
        <v>609</v>
      </c>
      <c r="J14" s="1"/>
      <c r="K14" s="892" t="str">
        <f>CONCATENATE("скидка без дисплея ",L27," р.")</f>
        <v>скидка без дисплея -3000 р.</v>
      </c>
      <c r="L14" s="901">
        <f>IF(AND('И21,И22-стационарные с вын. БД'!P13=1,NOT('И21,И22-стационарные с вын. БД'!P6=1),'И21,И22-стационарные с вын. БД'!C26&lt;3,'И21,И22-стационарные с вын. БД'!C26&gt;0),L27,0)</f>
        <v>0</v>
      </c>
      <c r="M14" s="906">
        <f>'И21,И22-стационарные с вын. БД'!K14</f>
      </c>
      <c r="N14" s="512">
        <f>IF(SUM('И21,И22-стационарные с вын. БД'!$C$7:$C$24)&gt;8,IF(OR('И21,И22-стационарные с вын. БД'!B14="O3",'И21,И22-стационарные с вын. БД'!B14="F2"),"--",VLOOKUP('И21,И22-стационарные с вын. БД'!B14,СГИ!$A$8:$G$27,IF(N$6=сообщения!I$3,3,4),TRUE)+VLOOKUP('И21,И22-стационарные с вын. БД'!B14,СГИ!$A$8:$G$27,2,TRUE)),VLOOKUP('И21,И22-стационарные с вын. БД'!B14,СГИ!$A$8:$G$27,IF(N$6=сообщения!I$3,3,4),TRUE))</f>
        <v>21850</v>
      </c>
      <c r="O14" s="513">
        <f>IF('И21,И22-стационарные с вын. БД'!M14&gt;0,VLOOKUP(M14,СГИ!$A$8:$G$27,IF(N$6=сообщения!I$3,5,6),TRUE),"")</f>
      </c>
      <c r="Q14" s="650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51"/>
      <c r="AJ14" s="1">
        <f t="shared" si="0"/>
      </c>
      <c r="AL14" s="845" t="s">
        <v>768</v>
      </c>
      <c r="AM14" s="1" t="s">
        <v>623</v>
      </c>
    </row>
    <row r="15" spans="1:39" ht="33" customHeight="1" thickBot="1">
      <c r="A15" s="609" t="str">
        <f>CONCATENATE(A16,A17,IF(A19="",A18,A19))</f>
        <v>Укажите количества каналов измерения выбранных газов </v>
      </c>
      <c r="B15" s="864" t="s">
        <v>707</v>
      </c>
      <c r="C15" s="609">
        <f>IF('И21,И22-стационарные с вын. БД'!C26&gt;16,$I$8,"")</f>
      </c>
      <c r="D15" s="864" t="s">
        <v>677</v>
      </c>
      <c r="E15" s="916" t="str">
        <f>IF(OR(E$3=I$13,E$3=I$15),"",IF('И21,И22-стационарные с вын. БД'!C8&gt;0,сообщения!I21,I$19))</f>
        <v>(укажите взрывозащищённые каналы, если необходимо)</v>
      </c>
      <c r="G15" s="609">
        <f>IF(AND(OR('И21,И22-стационарные с вын. БД'!P6="",'И21,И22-стационарные с вын. БД'!P6=1),OR('И21,И22-стационарные с вын. БД'!P7="",'И21,И22-стационарные с вын. БД'!P7=1),OR('И21,И22-стационарные с вын. БД'!P8="",'И21,И22-стационарные с вын. БД'!P8=1),OR('И21,И22-стационарные с вын. БД'!P13="",'И21,И22-стационарные с вын. БД'!P13=1)),"",I20)</f>
      </c>
      <c r="H15" s="885" t="s">
        <v>715</v>
      </c>
      <c r="I15" s="578" t="s">
        <v>566</v>
      </c>
      <c r="J15" s="1"/>
      <c r="K15" s="1004" t="s">
        <v>879</v>
      </c>
      <c r="L15" s="1005">
        <f>ТС!B13</f>
        <v>0</v>
      </c>
      <c r="M15" s="906">
        <f>'И21,И22-стационарные с вын. БД'!K15</f>
      </c>
      <c r="N15" s="512">
        <f>IF(SUM('И21,И22-стационарные с вын. БД'!$C$7:$C$24)&gt;8,IF(OR('И21,И22-стационарные с вын. БД'!B15="O3",'И21,И22-стационарные с вын. БД'!B15="F2"),"--",VLOOKUP('И21,И22-стационарные с вын. БД'!B15,СГИ!$A$8:$G$27,IF(N$6=сообщения!I$3,3,4),TRUE)+VLOOKUP('И21,И22-стационарные с вын. БД'!B15,СГИ!$A$8:$G$27,2,TRUE)),VLOOKUP('И21,И22-стационарные с вын. БД'!B15,СГИ!$A$8:$G$27,IF(N$6=сообщения!I$3,3,4),TRUE))</f>
        <v>9300</v>
      </c>
      <c r="O15" s="513">
        <f>IF('И21,И22-стационарные с вын. БД'!M15&gt;0,VLOOKUP(M15,СГИ!$A$8:$G$27,IF(N$6=сообщения!I$3,5,6),TRUE),"")</f>
      </c>
      <c r="Q15" s="648">
        <f>IF(сообщения!M15="","",сообщения!M15)</f>
      </c>
      <c r="R15" s="621">
        <f>IF(IF(ISNA(INDEX(СГИ!$Q$3:$AJ$22,VLOOKUP($Q15,СГИ!$O$3:$P$22,2),HLOOKUP(R$6,СГИ!$Q$1:$AJ$2,2))),"",INDEX(СГИ!$Q$3:$AJ$22,VLOOKUP($Q15,СГИ!$O$3:$P$22,2),HLOOKUP(R$6,СГИ!$Q$1:$AJ$2,2)))=1,CONCATENATE("при измерении ",$Q15," ",R$6," не допускается ! "),"")</f>
      </c>
      <c r="S15" s="621">
        <f>IF(IF(ISNA(INDEX(СГИ!$Q$3:$AJ$22,VLOOKUP($Q15,СГИ!$O$3:$P$22,2),HLOOKUP(S$6,СГИ!$Q$1:$AJ$2,2))),"",INDEX(СГИ!$Q$3:$AJ$22,VLOOKUP($Q15,СГИ!$O$3:$P$22,2),HLOOKUP(S$6,СГИ!$Q$1:$AJ$2,2)))=1,CONCATENATE("при измерении ",$Q15," ",S$6," не допускается ! "),"")</f>
      </c>
      <c r="T15" s="621">
        <f>IF(IF(ISNA(INDEX(СГИ!$Q$3:$AJ$22,VLOOKUP($Q15,СГИ!$O$3:$P$22,2),HLOOKUP(T$6,СГИ!$Q$1:$AJ$2,2))),"",INDEX(СГИ!$Q$3:$AJ$22,VLOOKUP($Q15,СГИ!$O$3:$P$22,2),HLOOKUP(T$6,СГИ!$Q$1:$AJ$2,2)))=1,CONCATENATE("при измерении ",$Q15," ",T$6," не допускается ! "),"")</f>
      </c>
      <c r="U15" s="621">
        <f>IF(IF(ISNA(INDEX(СГИ!$Q$3:$AJ$22,VLOOKUP($Q15,СГИ!$O$3:$P$22,2),HLOOKUP(U$6,СГИ!$Q$1:$AJ$2,2))),"",INDEX(СГИ!$Q$3:$AJ$22,VLOOKUP($Q15,СГИ!$O$3:$P$22,2),HLOOKUP(U$6,СГИ!$Q$1:$AJ$2,2)))=1,CONCATENATE("при измерении ",$Q15," ",U$6," не допускается ! "),"")</f>
      </c>
      <c r="V15" s="621">
        <f>IF(IF(ISNA(INDEX(СГИ!$Q$3:$AJ$22,VLOOKUP($Q15,СГИ!$O$3:$P$22,2),HLOOKUP(V$6,СГИ!$Q$1:$AJ$2,2))),"",INDEX(СГИ!$Q$3:$AJ$22,VLOOKUP($Q15,СГИ!$O$3:$P$22,2),HLOOKUP(V$6,СГИ!$Q$1:$AJ$2,2)))=1,CONCATENATE("при измерении ",$Q15," ",V$6," не допускается ! "),"")</f>
      </c>
      <c r="W15" s="621">
        <f>IF(IF(ISNA(INDEX(СГИ!$Q$3:$AJ$22,VLOOKUP($Q15,СГИ!$O$3:$P$22,2),HLOOKUP(W$6,СГИ!$Q$1:$AJ$2,2))),"",INDEX(СГИ!$Q$3:$AJ$22,VLOOKUP($Q15,СГИ!$O$3:$P$22,2),HLOOKUP(W$6,СГИ!$Q$1:$AJ$2,2)))=1,CONCATENATE("при измерении ",$Q15," ",W$6," не допускается ! "),"")</f>
      </c>
      <c r="X15" s="621">
        <f>IF(IF(ISNA(INDEX(СГИ!$Q$3:$AJ$22,VLOOKUP($Q15,СГИ!$O$3:$P$22,2),HLOOKUP(X$6,СГИ!$Q$1:$AJ$2,2))),"",INDEX(СГИ!$Q$3:$AJ$22,VLOOKUP($Q15,СГИ!$O$3:$P$22,2),HLOOKUP(X$6,СГИ!$Q$1:$AJ$2,2)))=1,CONCATENATE("при измерении ",$Q15," ",X$6," не допускается ! "),"")</f>
      </c>
      <c r="Y15" s="621">
        <f>IF(IF(ISNA(INDEX(СГИ!$Q$3:$AJ$22,VLOOKUP($Q15,СГИ!$O$3:$P$22,2),HLOOKUP(Y$6,СГИ!$Q$1:$AJ$2,2))),"",INDEX(СГИ!$Q$3:$AJ$22,VLOOKUP($Q15,СГИ!$O$3:$P$22,2),HLOOKUP(Y$6,СГИ!$Q$1:$AJ$2,2)))=1,CONCATENATE("при измерении ",$Q15," ",Y$6," не допускается ! "),"")</f>
      </c>
      <c r="Z15" s="621">
        <f>IF(IF(ISNA(INDEX(СГИ!$Q$3:$AJ$22,VLOOKUP($Q15,СГИ!$O$3:$P$22,2),HLOOKUP(Z$6,СГИ!$Q$1:$AJ$2,2))),"",INDEX(СГИ!$Q$3:$AJ$22,VLOOKUP($Q15,СГИ!$O$3:$P$22,2),HLOOKUP(Z$6,СГИ!$Q$1:$AJ$2,2)))=1,CONCATENATE("при измерении ",$Q15," ",Z$6," не допускается ! "),"")</f>
      </c>
      <c r="AA15" s="621">
        <f>IF(IF(ISNA(INDEX(СГИ!$Q$3:$AJ$22,VLOOKUP($Q15,СГИ!$O$3:$P$22,2),HLOOKUP(AA$6,СГИ!$Q$1:$AJ$2,2))),"",INDEX(СГИ!$Q$3:$AJ$22,VLOOKUP($Q15,СГИ!$O$3:$P$22,2),HLOOKUP(AA$6,СГИ!$Q$1:$AJ$2,2)))=1,CONCATENATE("при измерении ",$Q15," ",AA$6," не допускается ! "),"")</f>
      </c>
      <c r="AB15" s="621">
        <f>IF(IF(ISNA(INDEX(СГИ!$Q$3:$AJ$22,VLOOKUP($Q15,СГИ!$O$3:$P$22,2),HLOOKUP(AB$6,СГИ!$Q$1:$AJ$2,2))),"",INDEX(СГИ!$Q$3:$AJ$22,VLOOKUP($Q15,СГИ!$O$3:$P$22,2),HLOOKUP(AB$6,СГИ!$Q$1:$AJ$2,2)))=1,CONCATENATE("при измерении ",$Q15," ",AB$6," не допускается ! "),"")</f>
      </c>
      <c r="AC15" s="621">
        <f>IF(IF(ISNA(INDEX(СГИ!$Q$3:$AJ$22,VLOOKUP($Q15,СГИ!$O$3:$P$22,2),HLOOKUP(AC$6,СГИ!$Q$1:$AJ$2,2))),"",INDEX(СГИ!$Q$3:$AJ$22,VLOOKUP($Q15,СГИ!$O$3:$P$22,2),HLOOKUP(AC$6,СГИ!$Q$1:$AJ$2,2)))=1,CONCATENATE("при измерении ",$Q15," ",AC$6," не допускается ! "),"")</f>
      </c>
      <c r="AD15" s="621">
        <f>IF(IF(ISNA(INDEX(СГИ!$Q$3:$AJ$22,VLOOKUP($Q15,СГИ!$O$3:$P$22,2),HLOOKUP(AD$6,СГИ!$Q$1:$AJ$2,2))),"",INDEX(СГИ!$Q$3:$AJ$22,VLOOKUP($Q15,СГИ!$O$3:$P$22,2),HLOOKUP(AD$6,СГИ!$Q$1:$AJ$2,2)))=1,CONCATENATE("при измерении ",$Q15," ",AD$6," не допускается ! "),"")</f>
      </c>
      <c r="AE15" s="621">
        <f>IF(IF(ISNA(INDEX(СГИ!$Q$3:$AJ$22,VLOOKUP($Q15,СГИ!$O$3:$P$22,2),HLOOKUP(AE$6,СГИ!$Q$1:$AJ$2,2))),"",INDEX(СГИ!$Q$3:$AJ$22,VLOOKUP($Q15,СГИ!$O$3:$P$22,2),HLOOKUP(AE$6,СГИ!$Q$1:$AJ$2,2)))=1,CONCATENATE("при измерении ",$Q15," ",AE$6," не допускается ! "),"")</f>
      </c>
      <c r="AF15" s="621">
        <f>IF(IF(ISNA(INDEX(СГИ!$Q$3:$AJ$22,VLOOKUP($Q15,СГИ!$O$3:$P$22,2),HLOOKUP(AF$6,СГИ!$Q$1:$AJ$2,2))),"",INDEX(СГИ!$Q$3:$AJ$22,VLOOKUP($Q15,СГИ!$O$3:$P$22,2),HLOOKUP(AF$6,СГИ!$Q$1:$AJ$2,2)))=1,CONCATENATE("при измерении ",$Q15," ",AF$6," не допускается ! "),"")</f>
      </c>
      <c r="AG15" s="621">
        <f>IF(IF(ISNA(INDEX(СГИ!$Q$3:$AJ$22,VLOOKUP($Q15,СГИ!$O$3:$P$22,2),HLOOKUP(AG$6,СГИ!$Q$1:$AJ$2,2))),"",INDEX(СГИ!$Q$3:$AJ$22,VLOOKUP($Q15,СГИ!$O$3:$P$22,2),HLOOKUP(AG$6,СГИ!$Q$1:$AJ$2,2)))=1,CONCATENATE("при измерении ",$Q15," ",AG$6," не допускается ! "),"")</f>
      </c>
      <c r="AH15" s="621">
        <f>IF(IF(ISNA(INDEX(СГИ!$Q$3:$AJ$22,VLOOKUP($Q15,СГИ!$O$3:$P$22,2),HLOOKUP(AH$6,СГИ!$Q$1:$AJ$2,2))),"",INDEX(СГИ!$Q$3:$AJ$22,VLOOKUP($Q15,СГИ!$O$3:$P$22,2),HLOOKUP(AH$6,СГИ!$Q$1:$AJ$2,2)))=1,CONCATENATE("при измерении ",$Q15," ",AH$6," не допускается ! "),"")</f>
      </c>
      <c r="AI15" s="649">
        <f>IF(IF(ISNA(INDEX(СГИ!$Q$3:$AJ$22,VLOOKUP($Q15,СГИ!$O$3:$P$22,2),HLOOKUP(AI$6,СГИ!$Q$1:$AJ$2,2))),"",INDEX(СГИ!$Q$3:$AJ$22,VLOOKUP($Q15,СГИ!$O$3:$P$22,2),HLOOKUP(AI$6,СГИ!$Q$1:$AJ$2,2)))=1,CONCATENATE("при измерении ",$Q15," ",AI$6," не допускается ! "),"")</f>
      </c>
      <c r="AJ15" s="1">
        <f t="shared" si="0"/>
      </c>
      <c r="AL15" s="845" t="s">
        <v>769</v>
      </c>
      <c r="AM15" s="1" t="s">
        <v>624</v>
      </c>
    </row>
    <row r="16" spans="1:39" ht="33" customHeight="1" thickBot="1">
      <c r="A16" s="609">
        <f>IF('И21,И22-стационарные с вын. БД'!C9&gt;0,$I$6,"")</f>
      </c>
      <c r="B16" s="864" t="s">
        <v>676</v>
      </c>
      <c r="C16" s="609">
        <f>IF(AND('И21,И22-стационарные с вын. БД'!P13=1,'И21,И22-стационарные с вын. БД'!C26&gt;2),$I$9,"")</f>
      </c>
      <c r="D16" s="864" t="s">
        <v>678</v>
      </c>
      <c r="G16" s="609">
        <f>IF(OR('И21,И22-стационарные с вын. БД'!C$8*'И21,И22-стационарные с вын. БД'!P$6&gt;0,'И21,И22-стационарные с вын. БД'!E8&gt;0),$I$21,"")</f>
      </c>
      <c r="H16" s="885" t="s">
        <v>716</v>
      </c>
      <c r="I16" s="578" t="s">
        <v>578</v>
      </c>
      <c r="J16" s="1"/>
      <c r="K16" s="658"/>
      <c r="L16" s="595"/>
      <c r="M16" s="906">
        <f>'И21,И22-стационарные с вын. БД'!K16</f>
      </c>
      <c r="N16" s="512">
        <f>IF(SUM('И21,И22-стационарные с вын. БД'!$C$7:$C$24)&gt;8,IF(OR('И21,И22-стационарные с вын. БД'!B16="O3",'И21,И22-стационарные с вын. БД'!B16="F2"),"--",VLOOKUP('И21,И22-стационарные с вын. БД'!B16,СГИ!$A$8:$G$27,IF(N$6=сообщения!I$3,3,4),TRUE)+VLOOKUP('И21,И22-стационарные с вын. БД'!B16,СГИ!$A$8:$G$27,2,TRUE)),VLOOKUP('И21,И22-стационарные с вын. БД'!B16,СГИ!$A$8:$G$27,IF(N$6=сообщения!I$3,3,4),TRUE))</f>
        <v>9350</v>
      </c>
      <c r="O16" s="513">
        <f>IF('И21,И22-стационарные с вын. БД'!M16&gt;0,VLOOKUP(M16,СГИ!$A$8:$G$27,IF(N$6=сообщения!I$3,5,6),TRUE),"")</f>
      </c>
      <c r="Q16" s="648">
        <f>IF(сообщения!M16="","",сообщения!M16)</f>
      </c>
      <c r="R16" s="621">
        <f>IF(IF(ISNA(INDEX(СГИ!$Q$3:$AJ$22,VLOOKUP($Q16,СГИ!$O$3:$P$22,2),HLOOKUP(R$6,СГИ!$Q$1:$AJ$2,2))),"",INDEX(СГИ!$Q$3:$AJ$22,VLOOKUP($Q16,СГИ!$O$3:$P$22,2),HLOOKUP(R$6,СГИ!$Q$1:$AJ$2,2)))=1,CONCATENATE("при измерении ",$Q16," ",R$6," не допускается ! "),"")</f>
      </c>
      <c r="S16" s="621">
        <f>IF(IF(ISNA(INDEX(СГИ!$Q$3:$AJ$22,VLOOKUP($Q16,СГИ!$O$3:$P$22,2),HLOOKUP(S$6,СГИ!$Q$1:$AJ$2,2))),"",INDEX(СГИ!$Q$3:$AJ$22,VLOOKUP($Q16,СГИ!$O$3:$P$22,2),HLOOKUP(S$6,СГИ!$Q$1:$AJ$2,2)))=1,CONCATENATE("при измерении ",$Q16," ",S$6," не допускается ! "),"")</f>
      </c>
      <c r="T16" s="621">
        <f>IF(IF(ISNA(INDEX(СГИ!$Q$3:$AJ$22,VLOOKUP($Q16,СГИ!$O$3:$P$22,2),HLOOKUP(T$6,СГИ!$Q$1:$AJ$2,2))),"",INDEX(СГИ!$Q$3:$AJ$22,VLOOKUP($Q16,СГИ!$O$3:$P$22,2),HLOOKUP(T$6,СГИ!$Q$1:$AJ$2,2)))=1,CONCATENATE("при измерении ",$Q16," ",T$6," не допускается ! "),"")</f>
      </c>
      <c r="U16" s="621">
        <f>IF(IF(ISNA(INDEX(СГИ!$Q$3:$AJ$22,VLOOKUP($Q16,СГИ!$O$3:$P$22,2),HLOOKUP(U$6,СГИ!$Q$1:$AJ$2,2))),"",INDEX(СГИ!$Q$3:$AJ$22,VLOOKUP($Q16,СГИ!$O$3:$P$22,2),HLOOKUP(U$6,СГИ!$Q$1:$AJ$2,2)))=1,CONCATENATE("при измерении ",$Q16," ",U$6," не допускается ! "),"")</f>
      </c>
      <c r="V16" s="621">
        <f>IF(IF(ISNA(INDEX(СГИ!$Q$3:$AJ$22,VLOOKUP($Q16,СГИ!$O$3:$P$22,2),HLOOKUP(V$6,СГИ!$Q$1:$AJ$2,2))),"",INDEX(СГИ!$Q$3:$AJ$22,VLOOKUP($Q16,СГИ!$O$3:$P$22,2),HLOOKUP(V$6,СГИ!$Q$1:$AJ$2,2)))=1,CONCATENATE("при измерении ",$Q16," ",V$6," не допускается ! "),"")</f>
      </c>
      <c r="W16" s="621">
        <f>IF(IF(ISNA(INDEX(СГИ!$Q$3:$AJ$22,VLOOKUP($Q16,СГИ!$O$3:$P$22,2),HLOOKUP(W$6,СГИ!$Q$1:$AJ$2,2))),"",INDEX(СГИ!$Q$3:$AJ$22,VLOOKUP($Q16,СГИ!$O$3:$P$22,2),HLOOKUP(W$6,СГИ!$Q$1:$AJ$2,2)))=1,CONCATENATE("при измерении ",$Q16," ",W$6," не допускается ! "),"")</f>
      </c>
      <c r="X16" s="621">
        <f>IF(IF(ISNA(INDEX(СГИ!$Q$3:$AJ$22,VLOOKUP($Q16,СГИ!$O$3:$P$22,2),HLOOKUP(X$6,СГИ!$Q$1:$AJ$2,2))),"",INDEX(СГИ!$Q$3:$AJ$22,VLOOKUP($Q16,СГИ!$O$3:$P$22,2),HLOOKUP(X$6,СГИ!$Q$1:$AJ$2,2)))=1,CONCATENATE("при измерении ",$Q16," ",X$6," не допускается ! "),"")</f>
      </c>
      <c r="Y16" s="621">
        <f>IF(IF(ISNA(INDEX(СГИ!$Q$3:$AJ$22,VLOOKUP($Q16,СГИ!$O$3:$P$22,2),HLOOKUP(Y$6,СГИ!$Q$1:$AJ$2,2))),"",INDEX(СГИ!$Q$3:$AJ$22,VLOOKUP($Q16,СГИ!$O$3:$P$22,2),HLOOKUP(Y$6,СГИ!$Q$1:$AJ$2,2)))=1,CONCATENATE("при измерении ",$Q16," ",Y$6," не допускается ! "),"")</f>
      </c>
      <c r="Z16" s="621">
        <f>IF(IF(ISNA(INDEX(СГИ!$Q$3:$AJ$22,VLOOKUP($Q16,СГИ!$O$3:$P$22,2),HLOOKUP(Z$6,СГИ!$Q$1:$AJ$2,2))),"",INDEX(СГИ!$Q$3:$AJ$22,VLOOKUP($Q16,СГИ!$O$3:$P$22,2),HLOOKUP(Z$6,СГИ!$Q$1:$AJ$2,2)))=1,CONCATENATE("при измерении ",$Q16," ",Z$6," не допускается ! "),"")</f>
      </c>
      <c r="AA16" s="621">
        <f>IF(IF(ISNA(INDEX(СГИ!$Q$3:$AJ$22,VLOOKUP($Q16,СГИ!$O$3:$P$22,2),HLOOKUP(AA$6,СГИ!$Q$1:$AJ$2,2))),"",INDEX(СГИ!$Q$3:$AJ$22,VLOOKUP($Q16,СГИ!$O$3:$P$22,2),HLOOKUP(AA$6,СГИ!$Q$1:$AJ$2,2)))=1,CONCATENATE("при измерении ",$Q16," ",AA$6," не допускается ! "),"")</f>
      </c>
      <c r="AB16" s="621">
        <f>IF(IF(ISNA(INDEX(СГИ!$Q$3:$AJ$22,VLOOKUP($Q16,СГИ!$O$3:$P$22,2),HLOOKUP(AB$6,СГИ!$Q$1:$AJ$2,2))),"",INDEX(СГИ!$Q$3:$AJ$22,VLOOKUP($Q16,СГИ!$O$3:$P$22,2),HLOOKUP(AB$6,СГИ!$Q$1:$AJ$2,2)))=1,CONCATENATE("при измерении ",$Q16," ",AB$6," не допускается ! "),"")</f>
      </c>
      <c r="AC16" s="621">
        <f>IF(IF(ISNA(INDEX(СГИ!$Q$3:$AJ$22,VLOOKUP($Q16,СГИ!$O$3:$P$22,2),HLOOKUP(AC$6,СГИ!$Q$1:$AJ$2,2))),"",INDEX(СГИ!$Q$3:$AJ$22,VLOOKUP($Q16,СГИ!$O$3:$P$22,2),HLOOKUP(AC$6,СГИ!$Q$1:$AJ$2,2)))=1,CONCATENATE("при измерении ",$Q16," ",AC$6," не допускается ! "),"")</f>
      </c>
      <c r="AD16" s="621">
        <f>IF(IF(ISNA(INDEX(СГИ!$Q$3:$AJ$22,VLOOKUP($Q16,СГИ!$O$3:$P$22,2),HLOOKUP(AD$6,СГИ!$Q$1:$AJ$2,2))),"",INDEX(СГИ!$Q$3:$AJ$22,VLOOKUP($Q16,СГИ!$O$3:$P$22,2),HLOOKUP(AD$6,СГИ!$Q$1:$AJ$2,2)))=1,CONCATENATE("при измерении ",$Q16," ",AD$6," не допускается ! "),"")</f>
      </c>
      <c r="AE16" s="621">
        <f>IF(IF(ISNA(INDEX(СГИ!$Q$3:$AJ$22,VLOOKUP($Q16,СГИ!$O$3:$P$22,2),HLOOKUP(AE$6,СГИ!$Q$1:$AJ$2,2))),"",INDEX(СГИ!$Q$3:$AJ$22,VLOOKUP($Q16,СГИ!$O$3:$P$22,2),HLOOKUP(AE$6,СГИ!$Q$1:$AJ$2,2)))=1,CONCATENATE("при измерении ",$Q16," ",AE$6," не допускается ! "),"")</f>
      </c>
      <c r="AF16" s="621">
        <f>IF(IF(ISNA(INDEX(СГИ!$Q$3:$AJ$22,VLOOKUP($Q16,СГИ!$O$3:$P$22,2),HLOOKUP(AF$6,СГИ!$Q$1:$AJ$2,2))),"",INDEX(СГИ!$Q$3:$AJ$22,VLOOKUP($Q16,СГИ!$O$3:$P$22,2),HLOOKUP(AF$6,СГИ!$Q$1:$AJ$2,2)))=1,CONCATENATE("при измерении ",$Q16," ",AF$6," не допускается ! "),"")</f>
      </c>
      <c r="AG16" s="621">
        <f>IF(IF(ISNA(INDEX(СГИ!$Q$3:$AJ$22,VLOOKUP($Q16,СГИ!$O$3:$P$22,2),HLOOKUP(AG$6,СГИ!$Q$1:$AJ$2,2))),"",INDEX(СГИ!$Q$3:$AJ$22,VLOOKUP($Q16,СГИ!$O$3:$P$22,2),HLOOKUP(AG$6,СГИ!$Q$1:$AJ$2,2)))=1,CONCATENATE("при измерении ",$Q16," ",AG$6," не допускается ! "),"")</f>
      </c>
      <c r="AH16" s="621">
        <f>IF(IF(ISNA(INDEX(СГИ!$Q$3:$AJ$22,VLOOKUP($Q16,СГИ!$O$3:$P$22,2),HLOOKUP(AH$6,СГИ!$Q$1:$AJ$2,2))),"",INDEX(СГИ!$Q$3:$AJ$22,VLOOKUP($Q16,СГИ!$O$3:$P$22,2),HLOOKUP(AH$6,СГИ!$Q$1:$AJ$2,2)))=1,CONCATENATE("при измерении ",$Q16," ",AH$6," не допускается ! "),"")</f>
      </c>
      <c r="AI16" s="649">
        <f>IF(IF(ISNA(INDEX(СГИ!$Q$3:$AJ$22,VLOOKUP($Q16,СГИ!$O$3:$P$22,2),HLOOKUP(AI$6,СГИ!$Q$1:$AJ$2,2))),"",INDEX(СГИ!$Q$3:$AJ$22,VLOOKUP($Q16,СГИ!$O$3:$P$22,2),HLOOKUP(AI$6,СГИ!$Q$1:$AJ$2,2)))=1,CONCATENATE("при измерении ",$Q16," ",AI$6," не допускается ! "),"")</f>
      </c>
      <c r="AJ16" s="1">
        <f t="shared" si="0"/>
      </c>
      <c r="AL16" s="845" t="s">
        <v>770</v>
      </c>
      <c r="AM16" s="1" t="s">
        <v>625</v>
      </c>
    </row>
    <row r="17" spans="1:39" ht="33" customHeight="1" thickBot="1">
      <c r="A17" s="609">
        <f>IF(OR('И21,И22-стационарные с вын. БД'!M8+SUM('И21,И22-стационарные с вын. БД'!M10:M12)&gt;MAX('И21,И22-стационарные с вын. БД'!M8,'И21,И22-стационарные с вын. БД'!M10:M12),'И21,И22-стационарные с вын. БД'!M9+SUM('И21,И22-стационарные с вын. БД'!M10:M12)&gt;MAX('И21,И22-стационарные с вын. БД'!M9,'И21,И22-стационарные с вын. БД'!M10:M12)),$I$7,"")</f>
      </c>
      <c r="B17" s="864" t="s">
        <v>667</v>
      </c>
      <c r="C17" s="609">
        <f>IF(MAX('И21,И22-стационарные с вын. БД'!D7:D24)&gt;3,$I$10,"")</f>
      </c>
      <c r="D17" s="864" t="s">
        <v>679</v>
      </c>
      <c r="G17" s="609">
        <f>IF(AND('И21,И22-стационарные с вын. БД'!P$7=1,OR('И21,И22-стационарные с вын. БД'!P$6=1,SUM('И21,И22-стационарные с вын. БД'!E$7:E$24)&gt;0)),$I$22,"")</f>
      </c>
      <c r="H17" s="885" t="s">
        <v>717</v>
      </c>
      <c r="I17" s="882" t="s">
        <v>329</v>
      </c>
      <c r="J17" s="888" t="s">
        <v>722</v>
      </c>
      <c r="K17" s="658"/>
      <c r="L17" s="595"/>
      <c r="M17" s="906">
        <f>'И21,И22-стационарные с вын. БД'!K17</f>
      </c>
      <c r="N17" s="512">
        <f>IF(SUM('И21,И22-стационарные с вын. БД'!$C$7:$C$24)&gt;8,IF(OR('И21,И22-стационарные с вын. БД'!B17="O3",'И21,И22-стационарные с вын. БД'!B17="F2"),"--",VLOOKUP('И21,И22-стационарные с вын. БД'!B17,СГИ!$A$8:$G$27,IF(N$6=сообщения!I$3,3,4),TRUE)+VLOOKUP('И21,И22-стационарные с вын. БД'!B17,СГИ!$A$8:$G$27,2,TRUE)),VLOOKUP('И21,И22-стационарные с вын. БД'!B17,СГИ!$A$8:$G$27,IF(N$6=сообщения!I$3,3,4),TRUE))</f>
        <v>9670</v>
      </c>
      <c r="O17" s="513">
        <f>IF('И21,И22-стационарные с вын. БД'!M17&gt;0,VLOOKUP(M17,СГИ!$A$8:$G$27,IF(N$6=сообщения!I$3,5,6),TRUE),"")</f>
      </c>
      <c r="P17" t="s">
        <v>316</v>
      </c>
      <c r="Q17" s="648">
        <f>IF(сообщения!M17="","",сообщения!M17)</f>
      </c>
      <c r="R17" s="621">
        <f>IF(IF(ISNA(INDEX(СГИ!$Q$3:$AJ$22,VLOOKUP($Q17,СГИ!$O$3:$P$22,2),HLOOKUP(R$6,СГИ!$Q$1:$AJ$2,2))),"",INDEX(СГИ!$Q$3:$AJ$22,VLOOKUP($Q17,СГИ!$O$3:$P$22,2),HLOOKUP(R$6,СГИ!$Q$1:$AJ$2,2)))=1,CONCATENATE("при измерении ",$Q17," ",R$6," не допускается ! "),"")</f>
      </c>
      <c r="S17" s="621">
        <f>IF(IF(ISNA(INDEX(СГИ!$Q$3:$AJ$22,VLOOKUP($Q17,СГИ!$O$3:$P$22,2),HLOOKUP(S$6,СГИ!$Q$1:$AJ$2,2))),"",INDEX(СГИ!$Q$3:$AJ$22,VLOOKUP($Q17,СГИ!$O$3:$P$22,2),HLOOKUP(S$6,СГИ!$Q$1:$AJ$2,2)))=1,CONCATENATE("при измерении ",$Q17," ",S$6," не допускается ! "),"")</f>
      </c>
      <c r="T17" s="621">
        <f>IF(IF(ISNA(INDEX(СГИ!$Q$3:$AJ$22,VLOOKUP($Q17,СГИ!$O$3:$P$22,2),HLOOKUP(T$6,СГИ!$Q$1:$AJ$2,2))),"",INDEX(СГИ!$Q$3:$AJ$22,VLOOKUP($Q17,СГИ!$O$3:$P$22,2),HLOOKUP(T$6,СГИ!$Q$1:$AJ$2,2)))=1,CONCATENATE("при измерении ",$Q17," ",T$6," не допускается ! "),"")</f>
      </c>
      <c r="U17" s="621">
        <f>IF(IF(ISNA(INDEX(СГИ!$Q$3:$AJ$22,VLOOKUP($Q17,СГИ!$O$3:$P$22,2),HLOOKUP(U$6,СГИ!$Q$1:$AJ$2,2))),"",INDEX(СГИ!$Q$3:$AJ$22,VLOOKUP($Q17,СГИ!$O$3:$P$22,2),HLOOKUP(U$6,СГИ!$Q$1:$AJ$2,2)))=1,CONCATENATE("при измерении ",$Q17," ",U$6," не допускается ! "),"")</f>
      </c>
      <c r="V17" s="621">
        <f>IF(IF(ISNA(INDEX(СГИ!$Q$3:$AJ$22,VLOOKUP($Q17,СГИ!$O$3:$P$22,2),HLOOKUP(V$6,СГИ!$Q$1:$AJ$2,2))),"",INDEX(СГИ!$Q$3:$AJ$22,VLOOKUP($Q17,СГИ!$O$3:$P$22,2),HLOOKUP(V$6,СГИ!$Q$1:$AJ$2,2)))=1,CONCATENATE("при измерении ",$Q17," ",V$6," не допускается ! "),"")</f>
      </c>
      <c r="W17" s="621">
        <f>IF(IF(ISNA(INDEX(СГИ!$Q$3:$AJ$22,VLOOKUP($Q17,СГИ!$O$3:$P$22,2),HLOOKUP(W$6,СГИ!$Q$1:$AJ$2,2))),"",INDEX(СГИ!$Q$3:$AJ$22,VLOOKUP($Q17,СГИ!$O$3:$P$22,2),HLOOKUP(W$6,СГИ!$Q$1:$AJ$2,2)))=1,CONCATENATE("при измерении ",$Q17," ",W$6," не допускается ! "),"")</f>
      </c>
      <c r="X17" s="621">
        <f>IF(IF(ISNA(INDEX(СГИ!$Q$3:$AJ$22,VLOOKUP($Q17,СГИ!$O$3:$P$22,2),HLOOKUP(X$6,СГИ!$Q$1:$AJ$2,2))),"",INDEX(СГИ!$Q$3:$AJ$22,VLOOKUP($Q17,СГИ!$O$3:$P$22,2),HLOOKUP(X$6,СГИ!$Q$1:$AJ$2,2)))=1,CONCATENATE("при измерении ",$Q17," ",X$6," не допускается ! "),"")</f>
      </c>
      <c r="Y17" s="621">
        <f>IF(IF(ISNA(INDEX(СГИ!$Q$3:$AJ$22,VLOOKUP($Q17,СГИ!$O$3:$P$22,2),HLOOKUP(Y$6,СГИ!$Q$1:$AJ$2,2))),"",INDEX(СГИ!$Q$3:$AJ$22,VLOOKUP($Q17,СГИ!$O$3:$P$22,2),HLOOKUP(Y$6,СГИ!$Q$1:$AJ$2,2)))=1,CONCATENATE("при измерении ",$Q17," ",Y$6," не допускается ! "),"")</f>
      </c>
      <c r="Z17" s="621">
        <f>IF(IF(ISNA(INDEX(СГИ!$Q$3:$AJ$22,VLOOKUP($Q17,СГИ!$O$3:$P$22,2),HLOOKUP(Z$6,СГИ!$Q$1:$AJ$2,2))),"",INDEX(СГИ!$Q$3:$AJ$22,VLOOKUP($Q17,СГИ!$O$3:$P$22,2),HLOOKUP(Z$6,СГИ!$Q$1:$AJ$2,2)))=1,CONCATENATE("при измерении ",$Q17," ",Z$6," не допускается ! "),"")</f>
      </c>
      <c r="AA17" s="621">
        <f>IF(IF(ISNA(INDEX(СГИ!$Q$3:$AJ$22,VLOOKUP($Q17,СГИ!$O$3:$P$22,2),HLOOKUP(AA$6,СГИ!$Q$1:$AJ$2,2))),"",INDEX(СГИ!$Q$3:$AJ$22,VLOOKUP($Q17,СГИ!$O$3:$P$22,2),HLOOKUP(AA$6,СГИ!$Q$1:$AJ$2,2)))=1,CONCATENATE("при измерении ",$Q17," ",AA$6," не допускается ! "),"")</f>
      </c>
      <c r="AB17" s="621">
        <f>IF(IF(ISNA(INDEX(СГИ!$Q$3:$AJ$22,VLOOKUP($Q17,СГИ!$O$3:$P$22,2),HLOOKUP(AB$6,СГИ!$Q$1:$AJ$2,2))),"",INDEX(СГИ!$Q$3:$AJ$22,VLOOKUP($Q17,СГИ!$O$3:$P$22,2),HLOOKUP(AB$6,СГИ!$Q$1:$AJ$2,2)))=1,CONCATENATE("при измерении ",$Q17," ",AB$6," не допускается ! "),"")</f>
      </c>
      <c r="AC17" s="621">
        <f>IF(IF(ISNA(INDEX(СГИ!$Q$3:$AJ$22,VLOOKUP($Q17,СГИ!$O$3:$P$22,2),HLOOKUP(AC$6,СГИ!$Q$1:$AJ$2,2))),"",INDEX(СГИ!$Q$3:$AJ$22,VLOOKUP($Q17,СГИ!$O$3:$P$22,2),HLOOKUP(AC$6,СГИ!$Q$1:$AJ$2,2)))=1,CONCATENATE("при измерении ",$Q17," ",AC$6," не допускается ! "),"")</f>
      </c>
      <c r="AD17" s="621">
        <f>IF(IF(ISNA(INDEX(СГИ!$Q$3:$AJ$22,VLOOKUP($Q17,СГИ!$O$3:$P$22,2),HLOOKUP(AD$6,СГИ!$Q$1:$AJ$2,2))),"",INDEX(СГИ!$Q$3:$AJ$22,VLOOKUP($Q17,СГИ!$O$3:$P$22,2),HLOOKUP(AD$6,СГИ!$Q$1:$AJ$2,2)))=1,CONCATENATE("при измерении ",$Q17," ",AD$6," не допускается ! "),"")</f>
      </c>
      <c r="AE17" s="621">
        <f>IF(IF(ISNA(INDEX(СГИ!$Q$3:$AJ$22,VLOOKUP($Q17,СГИ!$O$3:$P$22,2),HLOOKUP(AE$6,СГИ!$Q$1:$AJ$2,2))),"",INDEX(СГИ!$Q$3:$AJ$22,VLOOKUP($Q17,СГИ!$O$3:$P$22,2),HLOOKUP(AE$6,СГИ!$Q$1:$AJ$2,2)))=1,CONCATENATE("при измерении ",$Q17," ",AE$6," не допускается ! "),"")</f>
      </c>
      <c r="AF17" s="621">
        <f>IF(IF(ISNA(INDEX(СГИ!$Q$3:$AJ$22,VLOOKUP($Q17,СГИ!$O$3:$P$22,2),HLOOKUP(AF$6,СГИ!$Q$1:$AJ$2,2))),"",INDEX(СГИ!$Q$3:$AJ$22,VLOOKUP($Q17,СГИ!$O$3:$P$22,2),HLOOKUP(AF$6,СГИ!$Q$1:$AJ$2,2)))=1,CONCATENATE("при измерении ",$Q17," ",AF$6," не допускается ! "),"")</f>
      </c>
      <c r="AG17" s="621">
        <f>IF(IF(ISNA(INDEX(СГИ!$Q$3:$AJ$22,VLOOKUP($Q17,СГИ!$O$3:$P$22,2),HLOOKUP(AG$6,СГИ!$Q$1:$AJ$2,2))),"",INDEX(СГИ!$Q$3:$AJ$22,VLOOKUP($Q17,СГИ!$O$3:$P$22,2),HLOOKUP(AG$6,СГИ!$Q$1:$AJ$2,2)))=1,CONCATENATE("при измерении ",$Q17," ",AG$6," не допускается ! "),"")</f>
      </c>
      <c r="AH17" s="621">
        <f>IF(IF(ISNA(INDEX(СГИ!$Q$3:$AJ$22,VLOOKUP($Q17,СГИ!$O$3:$P$22,2),HLOOKUP(AH$6,СГИ!$Q$1:$AJ$2,2))),"",INDEX(СГИ!$Q$3:$AJ$22,VLOOKUP($Q17,СГИ!$O$3:$P$22,2),HLOOKUP(AH$6,СГИ!$Q$1:$AJ$2,2)))=1,CONCATENATE("при измерении ",$Q17," ",AH$6," не допускается ! "),"")</f>
      </c>
      <c r="AI17" s="649">
        <f>IF(IF(ISNA(INDEX(СГИ!$Q$3:$AJ$22,VLOOKUP($Q17,СГИ!$O$3:$P$22,2),HLOOKUP(AI$6,СГИ!$Q$1:$AJ$2,2))),"",INDEX(СГИ!$Q$3:$AJ$22,VLOOKUP($Q17,СГИ!$O$3:$P$22,2),HLOOKUP(AI$6,СГИ!$Q$1:$AJ$2,2)))=1,CONCATENATE("при измерении ",$Q17," ",AI$6," не допускается ! "),"")</f>
      </c>
      <c r="AJ17" s="1">
        <f t="shared" si="0"/>
      </c>
      <c r="AL17" s="845" t="s">
        <v>771</v>
      </c>
      <c r="AM17" s="1" t="s">
        <v>765</v>
      </c>
    </row>
    <row r="18" spans="1:39" ht="33" customHeight="1" thickBot="1">
      <c r="A18" s="609" t="str">
        <f>IF(A19="",IF('И21,И22-стационарные с вын. БД'!C26=0,$I$5,AJ6),A19)</f>
        <v>Укажите количества каналов измерения выбранных газов </v>
      </c>
      <c r="B18" s="864" t="s">
        <v>668</v>
      </c>
      <c r="C18" s="609">
        <f>IF(AND('И21,И22-стационарные с вын. БД'!I2=I2,OR('И21,И22-стационарные с вын. БД'!C21&gt;0,'И21,И22-стационарные с вын. БД'!C22&gt;0)),сообщения!I11,"")</f>
      </c>
      <c r="D18" s="864" t="s">
        <v>680</v>
      </c>
      <c r="E18" s="198"/>
      <c r="G18" s="609">
        <f>IF(AND('И21,И22-стационарные с вын. БД'!P$8=1,OR('И21,И22-стационарные с вын. БД'!P$6=1,SUM('И21,И22-стационарные с вын. БД'!E$7:E$24)&gt;0)),$I$23,"")</f>
      </c>
      <c r="H18" s="885" t="s">
        <v>718</v>
      </c>
      <c r="I18" s="964" t="s">
        <v>807</v>
      </c>
      <c r="J18" s="889" t="s">
        <v>721</v>
      </c>
      <c r="K18" s="658"/>
      <c r="L18" s="595"/>
      <c r="M18" s="906">
        <f>'И21,И22-стационарные с вын. БД'!K18</f>
      </c>
      <c r="N18" s="512">
        <f>IF(SUM('И21,И22-стационарные с вын. БД'!$C$7:$C$24)&gt;8,IF(OR('И21,И22-стационарные с вын. БД'!B18="O3",'И21,И22-стационарные с вын. БД'!B18="F2"),"--",VLOOKUP('И21,И22-стационарные с вын. БД'!B18,СГИ!$A$8:$G$27,IF(N$6=сообщения!I$3,3,4),TRUE)+VLOOKUP('И21,И22-стационарные с вын. БД'!B18,СГИ!$A$8:$G$27,2,TRUE)),VLOOKUP('И21,И22-стационарные с вын. БД'!B18,СГИ!$A$8:$G$27,IF(N$6=сообщения!I$3,3,4),TRUE))</f>
        <v>8830</v>
      </c>
      <c r="O18" s="513">
        <f>IF('И21,И22-стационарные с вын. БД'!M18&gt;0,VLOOKUP(M18,СГИ!$A$8:$G$27,IF(N$6=сообщения!I$3,5,6),TRUE),"")</f>
      </c>
      <c r="Q18" s="648">
        <f>IF(сообщения!M18="","",сообщения!M18)</f>
      </c>
      <c r="R18" s="621">
        <f>IF(IF(ISNA(INDEX(СГИ!$Q$3:$AJ$22,VLOOKUP($Q18,СГИ!$O$3:$P$22,2),HLOOKUP(R$6,СГИ!$Q$1:$AJ$2,2))),"",INDEX(СГИ!$Q$3:$AJ$22,VLOOKUP($Q18,СГИ!$O$3:$P$22,2),HLOOKUP(R$6,СГИ!$Q$1:$AJ$2,2)))=1,CONCATENATE("при измерении ",$Q18," ",R$6," не допускается ! "),"")</f>
      </c>
      <c r="S18" s="621">
        <f>IF(IF(ISNA(INDEX(СГИ!$Q$3:$AJ$22,VLOOKUP($Q18,СГИ!$O$3:$P$22,2),HLOOKUP(S$6,СГИ!$Q$1:$AJ$2,2))),"",INDEX(СГИ!$Q$3:$AJ$22,VLOOKUP($Q18,СГИ!$O$3:$P$22,2),HLOOKUP(S$6,СГИ!$Q$1:$AJ$2,2)))=1,CONCATENATE("при измерении ",$Q18," ",S$6," не допускается ! "),"")</f>
      </c>
      <c r="T18" s="621">
        <f>IF(IF(ISNA(INDEX(СГИ!$Q$3:$AJ$22,VLOOKUP($Q18,СГИ!$O$3:$P$22,2),HLOOKUP(T$6,СГИ!$Q$1:$AJ$2,2))),"",INDEX(СГИ!$Q$3:$AJ$22,VLOOKUP($Q18,СГИ!$O$3:$P$22,2),HLOOKUP(T$6,СГИ!$Q$1:$AJ$2,2)))=1,CONCATENATE("при измерении ",$Q18," ",T$6," не допускается ! "),"")</f>
      </c>
      <c r="U18" s="621">
        <f>IF(IF(ISNA(INDEX(СГИ!$Q$3:$AJ$22,VLOOKUP($Q18,СГИ!$O$3:$P$22,2),HLOOKUP(U$6,СГИ!$Q$1:$AJ$2,2))),"",INDEX(СГИ!$Q$3:$AJ$22,VLOOKUP($Q18,СГИ!$O$3:$P$22,2),HLOOKUP(U$6,СГИ!$Q$1:$AJ$2,2)))=1,CONCATENATE("при измерении ",$Q18," ",U$6," не допускается ! "),"")</f>
      </c>
      <c r="V18" s="621">
        <f>IF(IF(ISNA(INDEX(СГИ!$Q$3:$AJ$22,VLOOKUP($Q18,СГИ!$O$3:$P$22,2),HLOOKUP(V$6,СГИ!$Q$1:$AJ$2,2))),"",INDEX(СГИ!$Q$3:$AJ$22,VLOOKUP($Q18,СГИ!$O$3:$P$22,2),HLOOKUP(V$6,СГИ!$Q$1:$AJ$2,2)))=1,CONCATENATE("при измерении ",$Q18," ",V$6," не допускается ! "),"")</f>
      </c>
      <c r="W18" s="621">
        <f>IF(IF(ISNA(INDEX(СГИ!$Q$3:$AJ$22,VLOOKUP($Q18,СГИ!$O$3:$P$22,2),HLOOKUP(W$6,СГИ!$Q$1:$AJ$2,2))),"",INDEX(СГИ!$Q$3:$AJ$22,VLOOKUP($Q18,СГИ!$O$3:$P$22,2),HLOOKUP(W$6,СГИ!$Q$1:$AJ$2,2)))=1,CONCATENATE("при измерении ",$Q18," ",W$6," не допускается ! "),"")</f>
      </c>
      <c r="X18" s="621">
        <f>IF(IF(ISNA(INDEX(СГИ!$Q$3:$AJ$22,VLOOKUP($Q18,СГИ!$O$3:$P$22,2),HLOOKUP(X$6,СГИ!$Q$1:$AJ$2,2))),"",INDEX(СГИ!$Q$3:$AJ$22,VLOOKUP($Q18,СГИ!$O$3:$P$22,2),HLOOKUP(X$6,СГИ!$Q$1:$AJ$2,2)))=1,CONCATENATE("при измерении ",$Q18," ",X$6," не допускается ! "),"")</f>
      </c>
      <c r="Y18" s="621">
        <f>IF(IF(ISNA(INDEX(СГИ!$Q$3:$AJ$22,VLOOKUP($Q18,СГИ!$O$3:$P$22,2),HLOOKUP(Y$6,СГИ!$Q$1:$AJ$2,2))),"",INDEX(СГИ!$Q$3:$AJ$22,VLOOKUP($Q18,СГИ!$O$3:$P$22,2),HLOOKUP(Y$6,СГИ!$Q$1:$AJ$2,2)))=1,CONCATENATE("при измерении ",$Q18," ",Y$6," не допускается ! "),"")</f>
      </c>
      <c r="Z18" s="621">
        <f>IF(IF(ISNA(INDEX(СГИ!$Q$3:$AJ$22,VLOOKUP($Q18,СГИ!$O$3:$P$22,2),HLOOKUP(Z$6,СГИ!$Q$1:$AJ$2,2))),"",INDEX(СГИ!$Q$3:$AJ$22,VLOOKUP($Q18,СГИ!$O$3:$P$22,2),HLOOKUP(Z$6,СГИ!$Q$1:$AJ$2,2)))=1,CONCATENATE("при измерении ",$Q18," ",Z$6," не допускается ! "),"")</f>
      </c>
      <c r="AA18" s="621">
        <f>IF(IF(ISNA(INDEX(СГИ!$Q$3:$AJ$22,VLOOKUP($Q18,СГИ!$O$3:$P$22,2),HLOOKUP(AA$6,СГИ!$Q$1:$AJ$2,2))),"",INDEX(СГИ!$Q$3:$AJ$22,VLOOKUP($Q18,СГИ!$O$3:$P$22,2),HLOOKUP(AA$6,СГИ!$Q$1:$AJ$2,2)))=1,CONCATENATE("при измерении ",$Q18," ",AA$6," не допускается ! "),"")</f>
      </c>
      <c r="AB18" s="621">
        <f>IF(IF(ISNA(INDEX(СГИ!$Q$3:$AJ$22,VLOOKUP($Q18,СГИ!$O$3:$P$22,2),HLOOKUP(AB$6,СГИ!$Q$1:$AJ$2,2))),"",INDEX(СГИ!$Q$3:$AJ$22,VLOOKUP($Q18,СГИ!$O$3:$P$22,2),HLOOKUP(AB$6,СГИ!$Q$1:$AJ$2,2)))=1,CONCATENATE("при измерении ",$Q18," ",AB$6," не допускается ! "),"")</f>
      </c>
      <c r="AC18" s="621">
        <f>IF(IF(ISNA(INDEX(СГИ!$Q$3:$AJ$22,VLOOKUP($Q18,СГИ!$O$3:$P$22,2),HLOOKUP(AC$6,СГИ!$Q$1:$AJ$2,2))),"",INDEX(СГИ!$Q$3:$AJ$22,VLOOKUP($Q18,СГИ!$O$3:$P$22,2),HLOOKUP(AC$6,СГИ!$Q$1:$AJ$2,2)))=1,CONCATENATE("при измерении ",$Q18," ",AC$6," не допускается ! "),"")</f>
      </c>
      <c r="AD18" s="621">
        <f>IF(IF(ISNA(INDEX(СГИ!$Q$3:$AJ$22,VLOOKUP($Q18,СГИ!$O$3:$P$22,2),HLOOKUP(AD$6,СГИ!$Q$1:$AJ$2,2))),"",INDEX(СГИ!$Q$3:$AJ$22,VLOOKUP($Q18,СГИ!$O$3:$P$22,2),HLOOKUP(AD$6,СГИ!$Q$1:$AJ$2,2)))=1,CONCATENATE("при измерении ",$Q18," ",AD$6," не допускается ! "),"")</f>
      </c>
      <c r="AE18" s="621">
        <f>IF(IF(ISNA(INDEX(СГИ!$Q$3:$AJ$22,VLOOKUP($Q18,СГИ!$O$3:$P$22,2),HLOOKUP(AE$6,СГИ!$Q$1:$AJ$2,2))),"",INDEX(СГИ!$Q$3:$AJ$22,VLOOKUP($Q18,СГИ!$O$3:$P$22,2),HLOOKUP(AE$6,СГИ!$Q$1:$AJ$2,2)))=1,CONCATENATE("при измерении ",$Q18," ",AE$6," не допускается ! "),"")</f>
      </c>
      <c r="AF18" s="621">
        <f>IF(IF(ISNA(INDEX(СГИ!$Q$3:$AJ$22,VLOOKUP($Q18,СГИ!$O$3:$P$22,2),HLOOKUP(AF$6,СГИ!$Q$1:$AJ$2,2))),"",INDEX(СГИ!$Q$3:$AJ$22,VLOOKUP($Q18,СГИ!$O$3:$P$22,2),HLOOKUP(AF$6,СГИ!$Q$1:$AJ$2,2)))=1,CONCATENATE("при измерении ",$Q18," ",AF$6," не допускается ! "),"")</f>
      </c>
      <c r="AG18" s="621">
        <f>IF(IF(ISNA(INDEX(СГИ!$Q$3:$AJ$22,VLOOKUP($Q18,СГИ!$O$3:$P$22,2),HLOOKUP(AG$6,СГИ!$Q$1:$AJ$2,2))),"",INDEX(СГИ!$Q$3:$AJ$22,VLOOKUP($Q18,СГИ!$O$3:$P$22,2),HLOOKUP(AG$6,СГИ!$Q$1:$AJ$2,2)))=1,CONCATENATE("при измерении ",$Q18," ",AG$6," не допускается ! "),"")</f>
      </c>
      <c r="AH18" s="621">
        <f>IF(IF(ISNA(INDEX(СГИ!$Q$3:$AJ$22,VLOOKUP($Q18,СГИ!$O$3:$P$22,2),HLOOKUP(AH$6,СГИ!$Q$1:$AJ$2,2))),"",INDEX(СГИ!$Q$3:$AJ$22,VLOOKUP($Q18,СГИ!$O$3:$P$22,2),HLOOKUP(AH$6,СГИ!$Q$1:$AJ$2,2)))=1,CONCATENATE("при измерении ",$Q18," ",AH$6," не допускается ! "),"")</f>
      </c>
      <c r="AI18" s="649">
        <f>IF(IF(ISNA(INDEX(СГИ!$Q$3:$AJ$22,VLOOKUP($Q18,СГИ!$O$3:$P$22,2),HLOOKUP(AI$6,СГИ!$Q$1:$AJ$2,2))),"",INDEX(СГИ!$Q$3:$AJ$22,VLOOKUP($Q18,СГИ!$O$3:$P$22,2),HLOOKUP(AI$6,СГИ!$Q$1:$AJ$2,2)))=1,CONCATENATE("при измерении ",$Q18," ",AI$6," не допускается ! "),"")</f>
      </c>
      <c r="AJ18" s="1">
        <f t="shared" si="0"/>
      </c>
      <c r="AL18" s="845" t="s">
        <v>772</v>
      </c>
      <c r="AM18" s="1" t="s">
        <v>766</v>
      </c>
    </row>
    <row r="19" spans="1:38" ht="33" customHeight="1" thickBot="1">
      <c r="A19" s="609">
        <f>IF('И21,И22-стационарные с вын. БД'!I2="",I4,"")</f>
      </c>
      <c r="B19" s="864" t="s">
        <v>671</v>
      </c>
      <c r="E19" s="198"/>
      <c r="G19" s="609"/>
      <c r="H19" s="885" t="s">
        <v>719</v>
      </c>
      <c r="I19" s="578" t="s">
        <v>586</v>
      </c>
      <c r="J19" s="1"/>
      <c r="K19" s="658"/>
      <c r="L19" s="595"/>
      <c r="M19" s="906">
        <f>'И21,И22-стационарные с вын. БД'!K19</f>
      </c>
      <c r="N19" s="512">
        <f>IF(SUM('И21,И22-стационарные с вын. БД'!$C$7:$C$24)&gt;8,IF(OR('И21,И22-стационарные с вын. БД'!B19="O3",'И21,И22-стационарные с вын. БД'!B19="F2"),"--",VLOOKUP('И21,И22-стационарные с вын. БД'!B19,СГИ!$A$8:$G$27,IF(N$6=сообщения!I$3,3,4),TRUE)+VLOOKUP('И21,И22-стационарные с вын. БД'!B19,СГИ!$A$8:$G$27,2,TRUE)),VLOOKUP('И21,И22-стационарные с вын. БД'!B19,СГИ!$A$8:$G$27,IF(N$6=сообщения!I$3,3,4),TRUE))</f>
        <v>10440</v>
      </c>
      <c r="O19" s="513">
        <f>IF('И21,И22-стационарные с вын. БД'!M19&gt;0,VLOOKUP(M19,СГИ!$A$8:$G$27,IF(N$6=сообщения!I$3,5,6),TRUE),"")</f>
      </c>
      <c r="Q19" s="648">
        <f>IF(сообщения!M19="","",сообщения!M19)</f>
      </c>
      <c r="R19" s="621">
        <f>IF(IF(ISNA(INDEX(СГИ!$Q$3:$AJ$22,VLOOKUP($Q19,СГИ!$O$3:$P$22,2),HLOOKUP(R$6,СГИ!$Q$1:$AJ$2,2))),"",INDEX(СГИ!$Q$3:$AJ$22,VLOOKUP($Q19,СГИ!$O$3:$P$22,2),HLOOKUP(R$6,СГИ!$Q$1:$AJ$2,2)))=1,CONCATENATE("при измерении ",$Q19," ",R$6," не допускается ! "),"")</f>
      </c>
      <c r="S19" s="621">
        <f>IF(IF(ISNA(INDEX(СГИ!$Q$3:$AJ$22,VLOOKUP($Q19,СГИ!$O$3:$P$22,2),HLOOKUP(S$6,СГИ!$Q$1:$AJ$2,2))),"",INDEX(СГИ!$Q$3:$AJ$22,VLOOKUP($Q19,СГИ!$O$3:$P$22,2),HLOOKUP(S$6,СГИ!$Q$1:$AJ$2,2)))=1,CONCATENATE("при измерении ",$Q19," ",S$6," не допускается ! "),"")</f>
      </c>
      <c r="T19" s="621">
        <f>IF(IF(ISNA(INDEX(СГИ!$Q$3:$AJ$22,VLOOKUP($Q19,СГИ!$O$3:$P$22,2),HLOOKUP(T$6,СГИ!$Q$1:$AJ$2,2))),"",INDEX(СГИ!$Q$3:$AJ$22,VLOOKUP($Q19,СГИ!$O$3:$P$22,2),HLOOKUP(T$6,СГИ!$Q$1:$AJ$2,2)))=1,CONCATENATE("при измерении ",$Q19," ",T$6," не допускается ! "),"")</f>
      </c>
      <c r="U19" s="621">
        <f>IF(IF(ISNA(INDEX(СГИ!$Q$3:$AJ$22,VLOOKUP($Q19,СГИ!$O$3:$P$22,2),HLOOKUP(U$6,СГИ!$Q$1:$AJ$2,2))),"",INDEX(СГИ!$Q$3:$AJ$22,VLOOKUP($Q19,СГИ!$O$3:$P$22,2),HLOOKUP(U$6,СГИ!$Q$1:$AJ$2,2)))=1,CONCATENATE("при измерении ",$Q19," ",U$6," не допускается ! "),"")</f>
      </c>
      <c r="V19" s="621">
        <f>IF(IF(ISNA(INDEX(СГИ!$Q$3:$AJ$22,VLOOKUP($Q19,СГИ!$O$3:$P$22,2),HLOOKUP(V$6,СГИ!$Q$1:$AJ$2,2))),"",INDEX(СГИ!$Q$3:$AJ$22,VLOOKUP($Q19,СГИ!$O$3:$P$22,2),HLOOKUP(V$6,СГИ!$Q$1:$AJ$2,2)))=1,CONCATENATE("при измерении ",$Q19," ",V$6," не допускается ! "),"")</f>
      </c>
      <c r="W19" s="621">
        <f>IF(IF(ISNA(INDEX(СГИ!$Q$3:$AJ$22,VLOOKUP($Q19,СГИ!$O$3:$P$22,2),HLOOKUP(W$6,СГИ!$Q$1:$AJ$2,2))),"",INDEX(СГИ!$Q$3:$AJ$22,VLOOKUP($Q19,СГИ!$O$3:$P$22,2),HLOOKUP(W$6,СГИ!$Q$1:$AJ$2,2)))=1,CONCATENATE("при измерении ",$Q19," ",W$6," не допускается ! "),"")</f>
      </c>
      <c r="X19" s="621">
        <f>IF(IF(ISNA(INDEX(СГИ!$Q$3:$AJ$22,VLOOKUP($Q19,СГИ!$O$3:$P$22,2),HLOOKUP(X$6,СГИ!$Q$1:$AJ$2,2))),"",INDEX(СГИ!$Q$3:$AJ$22,VLOOKUP($Q19,СГИ!$O$3:$P$22,2),HLOOKUP(X$6,СГИ!$Q$1:$AJ$2,2)))=1,CONCATENATE("при измерении ",$Q19," ",X$6," не допускается ! "),"")</f>
      </c>
      <c r="Y19" s="621">
        <f>IF(IF(ISNA(INDEX(СГИ!$Q$3:$AJ$22,VLOOKUP($Q19,СГИ!$O$3:$P$22,2),HLOOKUP(Y$6,СГИ!$Q$1:$AJ$2,2))),"",INDEX(СГИ!$Q$3:$AJ$22,VLOOKUP($Q19,СГИ!$O$3:$P$22,2),HLOOKUP(Y$6,СГИ!$Q$1:$AJ$2,2)))=1,CONCATENATE("при измерении ",$Q19," ",Y$6," не допускается ! "),"")</f>
      </c>
      <c r="Z19" s="621">
        <f>IF(IF(ISNA(INDEX(СГИ!$Q$3:$AJ$22,VLOOKUP($Q19,СГИ!$O$3:$P$22,2),HLOOKUP(Z$6,СГИ!$Q$1:$AJ$2,2))),"",INDEX(СГИ!$Q$3:$AJ$22,VLOOKUP($Q19,СГИ!$O$3:$P$22,2),HLOOKUP(Z$6,СГИ!$Q$1:$AJ$2,2)))=1,CONCATENATE("при измерении ",$Q19," ",Z$6," не допускается ! "),"")</f>
      </c>
      <c r="AA19" s="621">
        <f>IF(IF(ISNA(INDEX(СГИ!$Q$3:$AJ$22,VLOOKUP($Q19,СГИ!$O$3:$P$22,2),HLOOKUP(AA$6,СГИ!$Q$1:$AJ$2,2))),"",INDEX(СГИ!$Q$3:$AJ$22,VLOOKUP($Q19,СГИ!$O$3:$P$22,2),HLOOKUP(AA$6,СГИ!$Q$1:$AJ$2,2)))=1,CONCATENATE("при измерении ",$Q19," ",AA$6," не допускается ! "),"")</f>
      </c>
      <c r="AB19" s="621">
        <f>IF(IF(ISNA(INDEX(СГИ!$Q$3:$AJ$22,VLOOKUP($Q19,СГИ!$O$3:$P$22,2),HLOOKUP(AB$6,СГИ!$Q$1:$AJ$2,2))),"",INDEX(СГИ!$Q$3:$AJ$22,VLOOKUP($Q19,СГИ!$O$3:$P$22,2),HLOOKUP(AB$6,СГИ!$Q$1:$AJ$2,2)))=1,CONCATENATE("при измерении ",$Q19," ",AB$6," не допускается ! "),"")</f>
      </c>
      <c r="AC19" s="621">
        <f>IF(IF(ISNA(INDEX(СГИ!$Q$3:$AJ$22,VLOOKUP($Q19,СГИ!$O$3:$P$22,2),HLOOKUP(AC$6,СГИ!$Q$1:$AJ$2,2))),"",INDEX(СГИ!$Q$3:$AJ$22,VLOOKUP($Q19,СГИ!$O$3:$P$22,2),HLOOKUP(AC$6,СГИ!$Q$1:$AJ$2,2)))=1,CONCATENATE("при измерении ",$Q19," ",AC$6," не допускается ! "),"")</f>
      </c>
      <c r="AD19" s="621">
        <f>IF(IF(ISNA(INDEX(СГИ!$Q$3:$AJ$22,VLOOKUP($Q19,СГИ!$O$3:$P$22,2),HLOOKUP(AD$6,СГИ!$Q$1:$AJ$2,2))),"",INDEX(СГИ!$Q$3:$AJ$22,VLOOKUP($Q19,СГИ!$O$3:$P$22,2),HLOOKUP(AD$6,СГИ!$Q$1:$AJ$2,2)))=1,CONCATENATE("при измерении ",$Q19," ",AD$6," не допускается ! "),"")</f>
      </c>
      <c r="AE19" s="621">
        <f>IF(IF(ISNA(INDEX(СГИ!$Q$3:$AJ$22,VLOOKUP($Q19,СГИ!$O$3:$P$22,2),HLOOKUP(AE$6,СГИ!$Q$1:$AJ$2,2))),"",INDEX(СГИ!$Q$3:$AJ$22,VLOOKUP($Q19,СГИ!$O$3:$P$22,2),HLOOKUP(AE$6,СГИ!$Q$1:$AJ$2,2)))=1,CONCATENATE("при измерении ",$Q19," ",AE$6," не допускается ! "),"")</f>
      </c>
      <c r="AF19" s="621">
        <f>IF(IF(ISNA(INDEX(СГИ!$Q$3:$AJ$22,VLOOKUP($Q19,СГИ!$O$3:$P$22,2),HLOOKUP(AF$6,СГИ!$Q$1:$AJ$2,2))),"",INDEX(СГИ!$Q$3:$AJ$22,VLOOKUP($Q19,СГИ!$O$3:$P$22,2),HLOOKUP(AF$6,СГИ!$Q$1:$AJ$2,2)))=1,CONCATENATE("при измерении ",$Q19," ",AF$6," не допускается ! "),"")</f>
      </c>
      <c r="AG19" s="621">
        <f>IF(IF(ISNA(INDEX(СГИ!$Q$3:$AJ$22,VLOOKUP($Q19,СГИ!$O$3:$P$22,2),HLOOKUP(AG$6,СГИ!$Q$1:$AJ$2,2))),"",INDEX(СГИ!$Q$3:$AJ$22,VLOOKUP($Q19,СГИ!$O$3:$P$22,2),HLOOKUP(AG$6,СГИ!$Q$1:$AJ$2,2)))=1,CONCATENATE("при измерении ",$Q19," ",AG$6," не допускается ! "),"")</f>
      </c>
      <c r="AH19" s="621">
        <f>IF(IF(ISNA(INDEX(СГИ!$Q$3:$AJ$22,VLOOKUP($Q19,СГИ!$O$3:$P$22,2),HLOOKUP(AH$6,СГИ!$Q$1:$AJ$2,2))),"",INDEX(СГИ!$Q$3:$AJ$22,VLOOKUP($Q19,СГИ!$O$3:$P$22,2),HLOOKUP(AH$6,СГИ!$Q$1:$AJ$2,2)))=1,CONCATENATE("при измерении ",$Q19," ",AH$6," не допускается ! "),"")</f>
      </c>
      <c r="AI19" s="649">
        <f>IF(IF(ISNA(INDEX(СГИ!$Q$3:$AJ$22,VLOOKUP($Q19,СГИ!$O$3:$P$22,2),HLOOKUP(AI$6,СГИ!$Q$1:$AJ$2,2))),"",INDEX(СГИ!$Q$3:$AJ$22,VLOOKUP($Q19,СГИ!$O$3:$P$22,2),HLOOKUP(AI$6,СГИ!$Q$1:$AJ$2,2)))=1,CONCATENATE("при измерении ",$Q19," ",AI$6," не допускается ! "),"")</f>
      </c>
      <c r="AJ19" s="1">
        <f t="shared" si="0"/>
      </c>
      <c r="AL19" s="845" t="s">
        <v>629</v>
      </c>
    </row>
    <row r="20" spans="2:39" ht="33" customHeight="1" thickBot="1">
      <c r="B20" s="864"/>
      <c r="E20" s="198"/>
      <c r="G20" s="609">
        <f>IF(DCOUNTA('И21,И22-стационарные с вын. БД'!N$6:N$24,'И21,И22-стационарные с вын. БД'!N$6,I$17:I$18)=0,"",$I$26)</f>
      </c>
      <c r="H20" s="885" t="s">
        <v>887</v>
      </c>
      <c r="I20" s="578" t="s">
        <v>579</v>
      </c>
      <c r="J20" s="1"/>
      <c r="K20" s="788" t="s">
        <v>593</v>
      </c>
      <c r="L20" s="902">
        <f>SUM(L6:L15)</f>
        <v>0</v>
      </c>
      <c r="M20" s="906">
        <f>'И21,И22-стационарные с вын. БД'!K20</f>
      </c>
      <c r="N20" s="512">
        <f>IF(SUM('И21,И22-стационарные с вын. БД'!$C$7:$C$24)&gt;8,IF(OR('И21,И22-стационарные с вын. БД'!B20="O3",'И21,И22-стационарные с вын. БД'!B20="F2"),"--",VLOOKUP('И21,И22-стационарные с вын. БД'!B20,СГИ!$A$8:$G$27,IF(N$6=сообщения!I$3,3,4),TRUE)+VLOOKUP('И21,И22-стационарные с вын. БД'!B20,СГИ!$A$8:$G$27,2,TRUE)),VLOOKUP('И21,И22-стационарные с вын. БД'!B20,СГИ!$A$8:$G$27,IF(N$6=сообщения!I$3,3,4),TRUE))</f>
        <v>24090</v>
      </c>
      <c r="O20" s="513">
        <f>IF('И21,И22-стационарные с вын. БД'!M20&gt;0,VLOOKUP(M20,СГИ!$A$8:$G$27,IF(N$6=сообщения!I$3,5,6),TRUE),"")</f>
      </c>
      <c r="Q20" s="648">
        <f>IF(сообщения!M20="","",сообщения!M20)</f>
      </c>
      <c r="R20" s="621">
        <f>IF(IF(ISNA(INDEX(СГИ!$Q$3:$AJ$22,VLOOKUP($Q20,СГИ!$O$3:$P$22,2),HLOOKUP(R$6,СГИ!$Q$1:$AJ$2,2))),"",INDEX(СГИ!$Q$3:$AJ$22,VLOOKUP($Q20,СГИ!$O$3:$P$22,2),HLOOKUP(R$6,СГИ!$Q$1:$AJ$2,2)))=1,CONCATENATE("при измерении ",$Q20," ",R$6," не допускается ! "),"")</f>
      </c>
      <c r="S20" s="621">
        <f>IF(IF(ISNA(INDEX(СГИ!$Q$3:$AJ$22,VLOOKUP($Q20,СГИ!$O$3:$P$22,2),HLOOKUP(S$6,СГИ!$Q$1:$AJ$2,2))),"",INDEX(СГИ!$Q$3:$AJ$22,VLOOKUP($Q20,СГИ!$O$3:$P$22,2),HLOOKUP(S$6,СГИ!$Q$1:$AJ$2,2)))=1,CONCATENATE("при измерении ",$Q20," ",S$6," не допускается ! "),"")</f>
      </c>
      <c r="T20" s="621">
        <f>IF(IF(ISNA(INDEX(СГИ!$Q$3:$AJ$22,VLOOKUP($Q20,СГИ!$O$3:$P$22,2),HLOOKUP(T$6,СГИ!$Q$1:$AJ$2,2))),"",INDEX(СГИ!$Q$3:$AJ$22,VLOOKUP($Q20,СГИ!$O$3:$P$22,2),HLOOKUP(T$6,СГИ!$Q$1:$AJ$2,2)))=1,CONCATENATE("при измерении ",$Q20," ",T$6," не допускается ! "),"")</f>
      </c>
      <c r="U20" s="621">
        <f>IF(IF(ISNA(INDEX(СГИ!$Q$3:$AJ$22,VLOOKUP($Q20,СГИ!$O$3:$P$22,2),HLOOKUP(U$6,СГИ!$Q$1:$AJ$2,2))),"",INDEX(СГИ!$Q$3:$AJ$22,VLOOKUP($Q20,СГИ!$O$3:$P$22,2),HLOOKUP(U$6,СГИ!$Q$1:$AJ$2,2)))=1,CONCATENATE("при измерении ",$Q20," ",U$6," не допускается ! "),"")</f>
      </c>
      <c r="V20" s="621">
        <f>IF(IF(ISNA(INDEX(СГИ!$Q$3:$AJ$22,VLOOKUP($Q20,СГИ!$O$3:$P$22,2),HLOOKUP(V$6,СГИ!$Q$1:$AJ$2,2))),"",INDEX(СГИ!$Q$3:$AJ$22,VLOOKUP($Q20,СГИ!$O$3:$P$22,2),HLOOKUP(V$6,СГИ!$Q$1:$AJ$2,2)))=1,CONCATENATE("при измерении ",$Q20," ",V$6," не допускается ! "),"")</f>
      </c>
      <c r="W20" s="621">
        <f>IF(IF(ISNA(INDEX(СГИ!$Q$3:$AJ$22,VLOOKUP($Q20,СГИ!$O$3:$P$22,2),HLOOKUP(W$6,СГИ!$Q$1:$AJ$2,2))),"",INDEX(СГИ!$Q$3:$AJ$22,VLOOKUP($Q20,СГИ!$O$3:$P$22,2),HLOOKUP(W$6,СГИ!$Q$1:$AJ$2,2)))=1,CONCATENATE("при измерении ",$Q20," ",W$6," не допускается ! "),"")</f>
      </c>
      <c r="X20" s="621">
        <f>IF(IF(ISNA(INDEX(СГИ!$Q$3:$AJ$22,VLOOKUP($Q20,СГИ!$O$3:$P$22,2),HLOOKUP(X$6,СГИ!$Q$1:$AJ$2,2))),"",INDEX(СГИ!$Q$3:$AJ$22,VLOOKUP($Q20,СГИ!$O$3:$P$22,2),HLOOKUP(X$6,СГИ!$Q$1:$AJ$2,2)))=1,CONCATENATE("при измерении ",$Q20," ",X$6," не допускается ! "),"")</f>
      </c>
      <c r="Y20" s="621">
        <f>IF(IF(ISNA(INDEX(СГИ!$Q$3:$AJ$22,VLOOKUP($Q20,СГИ!$O$3:$P$22,2),HLOOKUP(Y$6,СГИ!$Q$1:$AJ$2,2))),"",INDEX(СГИ!$Q$3:$AJ$22,VLOOKUP($Q20,СГИ!$O$3:$P$22,2),HLOOKUP(Y$6,СГИ!$Q$1:$AJ$2,2)))=1,CONCATENATE("при измерении ",$Q20," ",Y$6," не допускается ! "),"")</f>
      </c>
      <c r="Z20" s="621">
        <f>IF(IF(ISNA(INDEX(СГИ!$Q$3:$AJ$22,VLOOKUP($Q20,СГИ!$O$3:$P$22,2),HLOOKUP(Z$6,СГИ!$Q$1:$AJ$2,2))),"",INDEX(СГИ!$Q$3:$AJ$22,VLOOKUP($Q20,СГИ!$O$3:$P$22,2),HLOOKUP(Z$6,СГИ!$Q$1:$AJ$2,2)))=1,CONCATENATE("при измерении ",$Q20," ",Z$6," не допускается ! "),"")</f>
      </c>
      <c r="AA20" s="621">
        <f>IF(IF(ISNA(INDEX(СГИ!$Q$3:$AJ$22,VLOOKUP($Q20,СГИ!$O$3:$P$22,2),HLOOKUP(AA$6,СГИ!$Q$1:$AJ$2,2))),"",INDEX(СГИ!$Q$3:$AJ$22,VLOOKUP($Q20,СГИ!$O$3:$P$22,2),HLOOKUP(AA$6,СГИ!$Q$1:$AJ$2,2)))=1,CONCATENATE("при измерении ",$Q20," ",AA$6," не допускается ! "),"")</f>
      </c>
      <c r="AB20" s="621">
        <f>IF(IF(ISNA(INDEX(СГИ!$Q$3:$AJ$22,VLOOKUP($Q20,СГИ!$O$3:$P$22,2),HLOOKUP(AB$6,СГИ!$Q$1:$AJ$2,2))),"",INDEX(СГИ!$Q$3:$AJ$22,VLOOKUP($Q20,СГИ!$O$3:$P$22,2),HLOOKUP(AB$6,СГИ!$Q$1:$AJ$2,2)))=1,CONCATENATE("при измерении ",$Q20," ",AB$6," не допускается ! "),"")</f>
      </c>
      <c r="AC20" s="621">
        <f>IF(IF(ISNA(INDEX(СГИ!$Q$3:$AJ$22,VLOOKUP($Q20,СГИ!$O$3:$P$22,2),HLOOKUP(AC$6,СГИ!$Q$1:$AJ$2,2))),"",INDEX(СГИ!$Q$3:$AJ$22,VLOOKUP($Q20,СГИ!$O$3:$P$22,2),HLOOKUP(AC$6,СГИ!$Q$1:$AJ$2,2)))=1,CONCATENATE("при измерении ",$Q20," ",AC$6," не допускается ! "),"")</f>
      </c>
      <c r="AD20" s="621">
        <f>IF(IF(ISNA(INDEX(СГИ!$Q$3:$AJ$22,VLOOKUP($Q20,СГИ!$O$3:$P$22,2),HLOOKUP(AD$6,СГИ!$Q$1:$AJ$2,2))),"",INDEX(СГИ!$Q$3:$AJ$22,VLOOKUP($Q20,СГИ!$O$3:$P$22,2),HLOOKUP(AD$6,СГИ!$Q$1:$AJ$2,2)))=1,CONCATENATE("при измерении ",$Q20," ",AD$6," не допускается ! "),"")</f>
      </c>
      <c r="AE20" s="621">
        <f>IF(IF(ISNA(INDEX(СГИ!$Q$3:$AJ$22,VLOOKUP($Q20,СГИ!$O$3:$P$22,2),HLOOKUP(AE$6,СГИ!$Q$1:$AJ$2,2))),"",INDEX(СГИ!$Q$3:$AJ$22,VLOOKUP($Q20,СГИ!$O$3:$P$22,2),HLOOKUP(AE$6,СГИ!$Q$1:$AJ$2,2)))=1,CONCATENATE("при измерении ",$Q20," ",AE$6," не допускается ! "),"")</f>
      </c>
      <c r="AF20" s="621">
        <f>IF(IF(ISNA(INDEX(СГИ!$Q$3:$AJ$22,VLOOKUP($Q20,СГИ!$O$3:$P$22,2),HLOOKUP(AF$6,СГИ!$Q$1:$AJ$2,2))),"",INDEX(СГИ!$Q$3:$AJ$22,VLOOKUP($Q20,СГИ!$O$3:$P$22,2),HLOOKUP(AF$6,СГИ!$Q$1:$AJ$2,2)))=1,CONCATENATE("при измерении ",$Q20," ",AF$6," не допускается ! "),"")</f>
      </c>
      <c r="AG20" s="621">
        <f>IF(IF(ISNA(INDEX(СГИ!$Q$3:$AJ$22,VLOOKUP($Q20,СГИ!$O$3:$P$22,2),HLOOKUP(AG$6,СГИ!$Q$1:$AJ$2,2))),"",INDEX(СГИ!$Q$3:$AJ$22,VLOOKUP($Q20,СГИ!$O$3:$P$22,2),HLOOKUP(AG$6,СГИ!$Q$1:$AJ$2,2)))=1,CONCATENATE("при измерении ",$Q20," ",AG$6," не допускается ! "),"")</f>
      </c>
      <c r="AH20" s="621">
        <f>IF(IF(ISNA(INDEX(СГИ!$Q$3:$AJ$22,VLOOKUP($Q20,СГИ!$O$3:$P$22,2),HLOOKUP(AH$6,СГИ!$Q$1:$AJ$2,2))),"",INDEX(СГИ!$Q$3:$AJ$22,VLOOKUP($Q20,СГИ!$O$3:$P$22,2),HLOOKUP(AH$6,СГИ!$Q$1:$AJ$2,2)))=1,CONCATENATE("при измерении ",$Q20," ",AH$6," не допускается ! "),"")</f>
      </c>
      <c r="AI20" s="649">
        <f>IF(IF(ISNA(INDEX(СГИ!$Q$3:$AJ$22,VLOOKUP($Q20,СГИ!$O$3:$P$22,2),HLOOKUP(AI$6,СГИ!$Q$1:$AJ$2,2))),"",INDEX(СГИ!$Q$3:$AJ$22,VLOOKUP($Q20,СГИ!$O$3:$P$22,2),HLOOKUP(AI$6,СГИ!$Q$1:$AJ$2,2)))=1,CONCATENATE("при измерении ",$Q20," ",AI$6," не допускается ! "),"")</f>
      </c>
      <c r="AJ20" s="1">
        <f t="shared" si="0"/>
      </c>
      <c r="AL20" s="1">
        <v>1</v>
      </c>
      <c r="AM20" s="1" t="s">
        <v>633</v>
      </c>
    </row>
    <row r="21" spans="1:39" ht="33" customHeight="1" thickBot="1">
      <c r="A21" s="864" t="s">
        <v>701</v>
      </c>
      <c r="E21" s="198"/>
      <c r="G21" s="609">
        <f>IF(AND('И21,И22-стационарные с вын. БД'!P6&gt;0,'И21,И22-стационарные с вын. БД'!P9&gt;0),$I$24,"")</f>
      </c>
      <c r="H21" s="885" t="s">
        <v>888</v>
      </c>
      <c r="I21" s="578" t="s">
        <v>750</v>
      </c>
      <c r="J21" s="517"/>
      <c r="K21" s="825" t="s">
        <v>545</v>
      </c>
      <c r="L21" s="901">
        <f>IF('И21,И22-стационарные с вын. БД'!I10="--",0,'И21,И22-стационарные с вын. БД'!I10*СГИ!$C60)</f>
        <v>0</v>
      </c>
      <c r="M21" s="906">
        <f>'И21,И22-стационарные с вын. БД'!K21</f>
      </c>
      <c r="N21" s="512">
        <f>IF(SUM('И21,И22-стационарные с вын. БД'!$C$7:$C$24)&gt;8,IF(OR('И21,И22-стационарные с вын. БД'!B21="O3",'И21,И22-стационарные с вын. БД'!B21="F2"),"--",VLOOKUP('И21,И22-стационарные с вын. БД'!B21,СГИ!$A$8:$G$27,IF(N$6=сообщения!I$3,3,4),TRUE)+VLOOKUP('И21,И22-стационарные с вын. БД'!B21,СГИ!$A$8:$G$27,2,TRUE)),VLOOKUP('И21,И22-стационарные с вын. БД'!B21,СГИ!$A$8:$G$27,IF(N$6=сообщения!I$3,3,4),TRUE))</f>
        <v>12580</v>
      </c>
      <c r="O21" s="513">
        <f>IF('И21,И22-стационарные с вын. БД'!M21&gt;0,VLOOKUP(M21,СГИ!$A$8:$G$27,IF(N$6=сообщения!I$3,5,6),TRUE),"")</f>
      </c>
      <c r="Q21" s="648">
        <f>IF(сообщения!M21="","",сообщения!M21)</f>
      </c>
      <c r="R21" s="621">
        <f>IF(IF(ISNA(INDEX(СГИ!$Q$3:$AJ$22,VLOOKUP($Q21,СГИ!$O$3:$P$22,2),HLOOKUP(R$6,СГИ!$Q$1:$AJ$2,2))),"",INDEX(СГИ!$Q$3:$AJ$22,VLOOKUP($Q21,СГИ!$O$3:$P$22,2),HLOOKUP(R$6,СГИ!$Q$1:$AJ$2,2)))=1,CONCATENATE("при измерении ",$Q21," ",R$6," не допускается ! "),"")</f>
      </c>
      <c r="S21" s="621">
        <f>IF(IF(ISNA(INDEX(СГИ!$Q$3:$AJ$22,VLOOKUP($Q21,СГИ!$O$3:$P$22,2),HLOOKUP(S$6,СГИ!$Q$1:$AJ$2,2))),"",INDEX(СГИ!$Q$3:$AJ$22,VLOOKUP($Q21,СГИ!$O$3:$P$22,2),HLOOKUP(S$6,СГИ!$Q$1:$AJ$2,2)))=1,CONCATENATE("при измерении ",$Q21," ",S$6," не допускается ! "),"")</f>
      </c>
      <c r="T21" s="621">
        <f>IF(IF(ISNA(INDEX(СГИ!$Q$3:$AJ$22,VLOOKUP($Q21,СГИ!$O$3:$P$22,2),HLOOKUP(T$6,СГИ!$Q$1:$AJ$2,2))),"",INDEX(СГИ!$Q$3:$AJ$22,VLOOKUP($Q21,СГИ!$O$3:$P$22,2),HLOOKUP(T$6,СГИ!$Q$1:$AJ$2,2)))=1,CONCATENATE("при измерении ",$Q21," ",T$6," не допускается ! "),"")</f>
      </c>
      <c r="U21" s="621">
        <f>IF(IF(ISNA(INDEX(СГИ!$Q$3:$AJ$22,VLOOKUP($Q21,СГИ!$O$3:$P$22,2),HLOOKUP(U$6,СГИ!$Q$1:$AJ$2,2))),"",INDEX(СГИ!$Q$3:$AJ$22,VLOOKUP($Q21,СГИ!$O$3:$P$22,2),HLOOKUP(U$6,СГИ!$Q$1:$AJ$2,2)))=1,CONCATENATE("при измерении ",$Q21," ",U$6," не допускается ! "),"")</f>
      </c>
      <c r="V21" s="621">
        <f>IF(IF(ISNA(INDEX(СГИ!$Q$3:$AJ$22,VLOOKUP($Q21,СГИ!$O$3:$P$22,2),HLOOKUP(V$6,СГИ!$Q$1:$AJ$2,2))),"",INDEX(СГИ!$Q$3:$AJ$22,VLOOKUP($Q21,СГИ!$O$3:$P$22,2),HLOOKUP(V$6,СГИ!$Q$1:$AJ$2,2)))=1,CONCATENATE("при измерении ",$Q21," ",V$6," не допускается ! "),"")</f>
      </c>
      <c r="W21" s="621">
        <f>IF(IF(ISNA(INDEX(СГИ!$Q$3:$AJ$22,VLOOKUP($Q21,СГИ!$O$3:$P$22,2),HLOOKUP(W$6,СГИ!$Q$1:$AJ$2,2))),"",INDEX(СГИ!$Q$3:$AJ$22,VLOOKUP($Q21,СГИ!$O$3:$P$22,2),HLOOKUP(W$6,СГИ!$Q$1:$AJ$2,2)))=1,CONCATENATE("при измерении ",$Q21," ",W$6," не допускается ! "),"")</f>
      </c>
      <c r="X21" s="621">
        <f>IF(IF(ISNA(INDEX(СГИ!$Q$3:$AJ$22,VLOOKUP($Q21,СГИ!$O$3:$P$22,2),HLOOKUP(X$6,СГИ!$Q$1:$AJ$2,2))),"",INDEX(СГИ!$Q$3:$AJ$22,VLOOKUP($Q21,СГИ!$O$3:$P$22,2),HLOOKUP(X$6,СГИ!$Q$1:$AJ$2,2)))=1,CONCATENATE("при измерении ",$Q21," ",X$6," не допускается ! "),"")</f>
      </c>
      <c r="Y21" s="621">
        <f>IF(IF(ISNA(INDEX(СГИ!$Q$3:$AJ$22,VLOOKUP($Q21,СГИ!$O$3:$P$22,2),HLOOKUP(Y$6,СГИ!$Q$1:$AJ$2,2))),"",INDEX(СГИ!$Q$3:$AJ$22,VLOOKUP($Q21,СГИ!$O$3:$P$22,2),HLOOKUP(Y$6,СГИ!$Q$1:$AJ$2,2)))=1,CONCATENATE("при измерении ",$Q21," ",Y$6," не допускается ! "),"")</f>
      </c>
      <c r="Z21" s="621">
        <f>IF(IF(ISNA(INDEX(СГИ!$Q$3:$AJ$22,VLOOKUP($Q21,СГИ!$O$3:$P$22,2),HLOOKUP(Z$6,СГИ!$Q$1:$AJ$2,2))),"",INDEX(СГИ!$Q$3:$AJ$22,VLOOKUP($Q21,СГИ!$O$3:$P$22,2),HLOOKUP(Z$6,СГИ!$Q$1:$AJ$2,2)))=1,CONCATENATE("при измерении ",$Q21," ",Z$6," не допускается ! "),"")</f>
      </c>
      <c r="AA21" s="621">
        <f>IF(IF(ISNA(INDEX(СГИ!$Q$3:$AJ$22,VLOOKUP($Q21,СГИ!$O$3:$P$22,2),HLOOKUP(AA$6,СГИ!$Q$1:$AJ$2,2))),"",INDEX(СГИ!$Q$3:$AJ$22,VLOOKUP($Q21,СГИ!$O$3:$P$22,2),HLOOKUP(AA$6,СГИ!$Q$1:$AJ$2,2)))=1,CONCATENATE("при измерении ",$Q21," ",AA$6," не допускается ! "),"")</f>
      </c>
      <c r="AB21" s="621">
        <f>IF(IF(ISNA(INDEX(СГИ!$Q$3:$AJ$22,VLOOKUP($Q21,СГИ!$O$3:$P$22,2),HLOOKUP(AB$6,СГИ!$Q$1:$AJ$2,2))),"",INDEX(СГИ!$Q$3:$AJ$22,VLOOKUP($Q21,СГИ!$O$3:$P$22,2),HLOOKUP(AB$6,СГИ!$Q$1:$AJ$2,2)))=1,CONCATENATE("при измерении ",$Q21," ",AB$6," не допускается ! "),"")</f>
      </c>
      <c r="AC21" s="621">
        <f>IF(IF(ISNA(INDEX(СГИ!$Q$3:$AJ$22,VLOOKUP($Q21,СГИ!$O$3:$P$22,2),HLOOKUP(AC$6,СГИ!$Q$1:$AJ$2,2))),"",INDEX(СГИ!$Q$3:$AJ$22,VLOOKUP($Q21,СГИ!$O$3:$P$22,2),HLOOKUP(AC$6,СГИ!$Q$1:$AJ$2,2)))=1,CONCATENATE("при измерении ",$Q21," ",AC$6," не допускается ! "),"")</f>
      </c>
      <c r="AD21" s="621">
        <f>IF(IF(ISNA(INDEX(СГИ!$Q$3:$AJ$22,VLOOKUP($Q21,СГИ!$O$3:$P$22,2),HLOOKUP(AD$6,СГИ!$Q$1:$AJ$2,2))),"",INDEX(СГИ!$Q$3:$AJ$22,VLOOKUP($Q21,СГИ!$O$3:$P$22,2),HLOOKUP(AD$6,СГИ!$Q$1:$AJ$2,2)))=1,CONCATENATE("при измерении ",$Q21," ",AD$6," не допускается ! "),"")</f>
      </c>
      <c r="AE21" s="621">
        <f>IF(IF(ISNA(INDEX(СГИ!$Q$3:$AJ$22,VLOOKUP($Q21,СГИ!$O$3:$P$22,2),HLOOKUP(AE$6,СГИ!$Q$1:$AJ$2,2))),"",INDEX(СГИ!$Q$3:$AJ$22,VLOOKUP($Q21,СГИ!$O$3:$P$22,2),HLOOKUP(AE$6,СГИ!$Q$1:$AJ$2,2)))=1,CONCATENATE("при измерении ",$Q21," ",AE$6," не допускается ! "),"")</f>
      </c>
      <c r="AF21" s="621">
        <f>IF(IF(ISNA(INDEX(СГИ!$Q$3:$AJ$22,VLOOKUP($Q21,СГИ!$O$3:$P$22,2),HLOOKUP(AF$6,СГИ!$Q$1:$AJ$2,2))),"",INDEX(СГИ!$Q$3:$AJ$22,VLOOKUP($Q21,СГИ!$O$3:$P$22,2),HLOOKUP(AF$6,СГИ!$Q$1:$AJ$2,2)))=1,CONCATENATE("при измерении ",$Q21," ",AF$6," не допускается ! "),"")</f>
      </c>
      <c r="AG21" s="621">
        <f>IF(IF(ISNA(INDEX(СГИ!$Q$3:$AJ$22,VLOOKUP($Q21,СГИ!$O$3:$P$22,2),HLOOKUP(AG$6,СГИ!$Q$1:$AJ$2,2))),"",INDEX(СГИ!$Q$3:$AJ$22,VLOOKUP($Q21,СГИ!$O$3:$P$22,2),HLOOKUP(AG$6,СГИ!$Q$1:$AJ$2,2)))=1,CONCATENATE("при измерении ",$Q21," ",AG$6," не допускается ! "),"")</f>
      </c>
      <c r="AH21" s="621">
        <f>IF(IF(ISNA(INDEX(СГИ!$Q$3:$AJ$22,VLOOKUP($Q21,СГИ!$O$3:$P$22,2),HLOOKUP(AH$6,СГИ!$Q$1:$AJ$2,2))),"",INDEX(СГИ!$Q$3:$AJ$22,VLOOKUP($Q21,СГИ!$O$3:$P$22,2),HLOOKUP(AH$6,СГИ!$Q$1:$AJ$2,2)))=1,CONCATENATE("при измерении ",$Q21," ",AH$6," не допускается ! "),"")</f>
      </c>
      <c r="AI21" s="649">
        <f>IF(IF(ISNA(INDEX(СГИ!$Q$3:$AJ$22,VLOOKUP($Q21,СГИ!$O$3:$P$22,2),HLOOKUP(AI$6,СГИ!$Q$1:$AJ$2,2))),"",INDEX(СГИ!$Q$3:$AJ$22,VLOOKUP($Q21,СГИ!$O$3:$P$22,2),HLOOKUP(AI$6,СГИ!$Q$1:$AJ$2,2)))=1,CONCATENATE("при измерении ",$Q21," ",AI$6," не допускается ! "),"")</f>
      </c>
      <c r="AJ21" s="1">
        <f t="shared" si="0"/>
      </c>
      <c r="AL21" s="1">
        <v>0</v>
      </c>
      <c r="AM21" s="1" t="s">
        <v>634</v>
      </c>
    </row>
    <row r="22" spans="1:39" ht="33" customHeight="1" thickBot="1">
      <c r="A22" s="512" t="str">
        <f>IF(OR('И21,И22-стационарные с вын. БД'!C26&gt;4,'И21,И22-стационарные с вын. БД'!P12=1,'И21,И22-стационарные с вын. БД'!C29&gt;0),сообщения!AL2,сообщения!AL3)</f>
        <v>-И22</v>
      </c>
      <c r="B22" s="875" t="s">
        <v>681</v>
      </c>
      <c r="C22" s="866" t="s">
        <v>725</v>
      </c>
      <c r="E22" s="865" t="s">
        <v>726</v>
      </c>
      <c r="H22" s="886"/>
      <c r="I22" s="578" t="s">
        <v>576</v>
      </c>
      <c r="J22" s="1"/>
      <c r="K22" s="1"/>
      <c r="M22" s="906">
        <f>'И21,И22-стационарные с вын. БД'!K22</f>
      </c>
      <c r="N22" s="512">
        <f>IF(SUM('И21,И22-стационарные с вын. БД'!$C$7:$C$24)&gt;8,IF(OR('И21,И22-стационарные с вын. БД'!B22="O3",'И21,И22-стационарные с вын. БД'!B22="F2"),"--",VLOOKUP('И21,И22-стационарные с вын. БД'!B22,СГИ!$A$8:$G$27,IF(N$6=сообщения!I$3,3,4),TRUE)+VLOOKUP('И21,И22-стационарные с вын. БД'!B22,СГИ!$A$8:$G$27,2,TRUE)),VLOOKUP('И21,И22-стационарные с вын. БД'!B22,СГИ!$A$8:$G$27,IF(N$6=сообщения!I$3,3,4),TRUE))</f>
        <v>18760</v>
      </c>
      <c r="O22" s="513">
        <f>IF('И21,И22-стационарные с вын. БД'!M22&gt;0,VLOOKUP(M22,СГИ!$A$8:$G$27,IF(N$6=сообщения!I$3,5,6),TRUE),"")</f>
      </c>
      <c r="Q22" s="648">
        <f>IF(сообщения!M22="","","F2")</f>
      </c>
      <c r="R22" s="621">
        <f>IF(IF(ISNA(INDEX(СГИ!$Q$3:$AJ$22,VLOOKUP($Q22,СГИ!$O$3:$P$22,2),HLOOKUP(R$6,СГИ!$Q$1:$AJ$2,2))),"",INDEX(СГИ!$Q$3:$AJ$22,VLOOKUP($Q22,СГИ!$O$3:$P$22,2),HLOOKUP(R$6,СГИ!$Q$1:$AJ$2,2)))=1,CONCATENATE("при измерении ",$Q22," ",R$6," не допускается ! "),"")</f>
      </c>
      <c r="S22" s="621">
        <f>IF(IF(ISNA(INDEX(СГИ!$Q$3:$AJ$22,VLOOKUP($Q22,СГИ!$O$3:$P$22,2),HLOOKUP(S$6,СГИ!$Q$1:$AJ$2,2))),"",INDEX(СГИ!$Q$3:$AJ$22,VLOOKUP($Q22,СГИ!$O$3:$P$22,2),HLOOKUP(S$6,СГИ!$Q$1:$AJ$2,2)))=1,CONCATENATE("при измерении ",$Q22," ",S$6," не допускается ! "),"")</f>
      </c>
      <c r="T22" s="621">
        <f>IF(IF(ISNA(INDEX(СГИ!$Q$3:$AJ$22,VLOOKUP($Q22,СГИ!$O$3:$P$22,2),HLOOKUP(T$6,СГИ!$Q$1:$AJ$2,2))),"",INDEX(СГИ!$Q$3:$AJ$22,VLOOKUP($Q22,СГИ!$O$3:$P$22,2),HLOOKUP(T$6,СГИ!$Q$1:$AJ$2,2)))=1,CONCATENATE("при измерении ",$Q22," ",T$6," не допускается ! "),"")</f>
      </c>
      <c r="U22" s="621">
        <f>IF(IF(ISNA(INDEX(СГИ!$Q$3:$AJ$22,VLOOKUP($Q22,СГИ!$O$3:$P$22,2),HLOOKUP(U$6,СГИ!$Q$1:$AJ$2,2))),"",INDEX(СГИ!$Q$3:$AJ$22,VLOOKUP($Q22,СГИ!$O$3:$P$22,2),HLOOKUP(U$6,СГИ!$Q$1:$AJ$2,2)))=1,CONCATENATE("при измерении ",$Q22," ",U$6," не допускается ! "),"")</f>
      </c>
      <c r="V22" s="621">
        <f>IF(IF(ISNA(INDEX(СГИ!$Q$3:$AJ$22,VLOOKUP($Q22,СГИ!$O$3:$P$22,2),HLOOKUP(V$6,СГИ!$Q$1:$AJ$2,2))),"",INDEX(СГИ!$Q$3:$AJ$22,VLOOKUP($Q22,СГИ!$O$3:$P$22,2),HLOOKUP(V$6,СГИ!$Q$1:$AJ$2,2)))=1,CONCATENATE("при измерении ",$Q22," ",V$6," не допускается ! "),"")</f>
      </c>
      <c r="W22" s="621">
        <f>IF(IF(ISNA(INDEX(СГИ!$Q$3:$AJ$22,VLOOKUP($Q22,СГИ!$O$3:$P$22,2),HLOOKUP(W$6,СГИ!$Q$1:$AJ$2,2))),"",INDEX(СГИ!$Q$3:$AJ$22,VLOOKUP($Q22,СГИ!$O$3:$P$22,2),HLOOKUP(W$6,СГИ!$Q$1:$AJ$2,2)))=1,CONCATENATE("при измерении ",$Q22," ",W$6," не допускается ! "),"")</f>
      </c>
      <c r="X22" s="621">
        <f>IF(IF(ISNA(INDEX(СГИ!$Q$3:$AJ$22,VLOOKUP($Q22,СГИ!$O$3:$P$22,2),HLOOKUP(X$6,СГИ!$Q$1:$AJ$2,2))),"",INDEX(СГИ!$Q$3:$AJ$22,VLOOKUP($Q22,СГИ!$O$3:$P$22,2),HLOOKUP(X$6,СГИ!$Q$1:$AJ$2,2)))=1,CONCATENATE("при измерении ",$Q22," ",X$6," не допускается ! "),"")</f>
      </c>
      <c r="Y22" s="621">
        <f>IF(IF(ISNA(INDEX(СГИ!$Q$3:$AJ$22,VLOOKUP($Q22,СГИ!$O$3:$P$22,2),HLOOKUP(Y$6,СГИ!$Q$1:$AJ$2,2))),"",INDEX(СГИ!$Q$3:$AJ$22,VLOOKUP($Q22,СГИ!$O$3:$P$22,2),HLOOKUP(Y$6,СГИ!$Q$1:$AJ$2,2)))=1,CONCATENATE("при измерении ",$Q22," ",Y$6," не допускается ! "),"")</f>
      </c>
      <c r="Z22" s="621">
        <f>IF(IF(ISNA(INDEX(СГИ!$Q$3:$AJ$22,VLOOKUP($Q22,СГИ!$O$3:$P$22,2),HLOOKUP(Z$6,СГИ!$Q$1:$AJ$2,2))),"",INDEX(СГИ!$Q$3:$AJ$22,VLOOKUP($Q22,СГИ!$O$3:$P$22,2),HLOOKUP(Z$6,СГИ!$Q$1:$AJ$2,2)))=1,CONCATENATE("при измерении ",$Q22," ",Z$6," не допускается ! "),"")</f>
      </c>
      <c r="AA22" s="621">
        <f>IF(IF(ISNA(INDEX(СГИ!$Q$3:$AJ$22,VLOOKUP($Q22,СГИ!$O$3:$P$22,2),HLOOKUP(AA$6,СГИ!$Q$1:$AJ$2,2))),"",INDEX(СГИ!$Q$3:$AJ$22,VLOOKUP($Q22,СГИ!$O$3:$P$22,2),HLOOKUP(AA$6,СГИ!$Q$1:$AJ$2,2)))=1,CONCATENATE("при измерении ",$Q22," ",AA$6," не допускается ! "),"")</f>
      </c>
      <c r="AB22" s="621">
        <f>IF(IF(ISNA(INDEX(СГИ!$Q$3:$AJ$22,VLOOKUP($Q22,СГИ!$O$3:$P$22,2),HLOOKUP(AB$6,СГИ!$Q$1:$AJ$2,2))),"",INDEX(СГИ!$Q$3:$AJ$22,VLOOKUP($Q22,СГИ!$O$3:$P$22,2),HLOOKUP(AB$6,СГИ!$Q$1:$AJ$2,2)))=1,CONCATENATE("при измерении ",$Q22," ",AB$6," не допускается ! "),"")</f>
      </c>
      <c r="AC22" s="621">
        <f>IF(IF(ISNA(INDEX(СГИ!$Q$3:$AJ$22,VLOOKUP($Q22,СГИ!$O$3:$P$22,2),HLOOKUP(AC$6,СГИ!$Q$1:$AJ$2,2))),"",INDEX(СГИ!$Q$3:$AJ$22,VLOOKUP($Q22,СГИ!$O$3:$P$22,2),HLOOKUP(AC$6,СГИ!$Q$1:$AJ$2,2)))=1,CONCATENATE("при измерении ",$Q22," ",AC$6," не допускается ! "),"")</f>
      </c>
      <c r="AD22" s="621">
        <f>IF(IF(ISNA(INDEX(СГИ!$Q$3:$AJ$22,VLOOKUP($Q22,СГИ!$O$3:$P$22,2),HLOOKUP(AD$6,СГИ!$Q$1:$AJ$2,2))),"",INDEX(СГИ!$Q$3:$AJ$22,VLOOKUP($Q22,СГИ!$O$3:$P$22,2),HLOOKUP(AD$6,СГИ!$Q$1:$AJ$2,2)))=1,CONCATENATE("при измерении ",$Q22," ",AD$6," не допускается ! "),"")</f>
      </c>
      <c r="AE22" s="621">
        <f>IF(IF(ISNA(INDEX(СГИ!$Q$3:$AJ$22,VLOOKUP($Q22,СГИ!$O$3:$P$22,2),HLOOKUP(AE$6,СГИ!$Q$1:$AJ$2,2))),"",INDEX(СГИ!$Q$3:$AJ$22,VLOOKUP($Q22,СГИ!$O$3:$P$22,2),HLOOKUP(AE$6,СГИ!$Q$1:$AJ$2,2)))=1,CONCATENATE("при измерении ",$Q22," ",AE$6," не допускается ! "),"")</f>
      </c>
      <c r="AF22" s="621">
        <f>IF(IF(ISNA(INDEX(СГИ!$Q$3:$AJ$22,VLOOKUP($Q22,СГИ!$O$3:$P$22,2),HLOOKUP(AF$6,СГИ!$Q$1:$AJ$2,2))),"",INDEX(СГИ!$Q$3:$AJ$22,VLOOKUP($Q22,СГИ!$O$3:$P$22,2),HLOOKUP(AF$6,СГИ!$Q$1:$AJ$2,2)))=1,CONCATENATE("при измерении ",$Q22," ",AF$6," не допускается ! "),"")</f>
      </c>
      <c r="AG22" s="621">
        <f>IF(IF(ISNA(INDEX(СГИ!$Q$3:$AJ$22,VLOOKUP($Q22,СГИ!$O$3:$P$22,2),HLOOKUP(AG$6,СГИ!$Q$1:$AJ$2,2))),"",INDEX(СГИ!$Q$3:$AJ$22,VLOOKUP($Q22,СГИ!$O$3:$P$22,2),HLOOKUP(AG$6,СГИ!$Q$1:$AJ$2,2)))=1,CONCATENATE("при измерении ",$Q22," ",AG$6," не допускается ! "),"")</f>
      </c>
      <c r="AH22" s="621">
        <f>IF(IF(ISNA(INDEX(СГИ!$Q$3:$AJ$22,VLOOKUP($Q22,СГИ!$O$3:$P$22,2),HLOOKUP(AH$6,СГИ!$Q$1:$AJ$2,2))),"",INDEX(СГИ!$Q$3:$AJ$22,VLOOKUP($Q22,СГИ!$O$3:$P$22,2),HLOOKUP(AH$6,СГИ!$Q$1:$AJ$2,2)))=1,CONCATENATE("при измерении ",$Q22," ",AH$6," не допускается ! "),"")</f>
      </c>
      <c r="AI22" s="649">
        <f>IF(IF(ISNA(INDEX(СГИ!$Q$3:$AJ$22,VLOOKUP($Q22,СГИ!$O$3:$P$22,2),HLOOKUP(AI$6,СГИ!$Q$1:$AJ$2,2))),"",INDEX(СГИ!$Q$3:$AJ$22,VLOOKUP($Q22,СГИ!$O$3:$P$22,2),HLOOKUP(AI$6,СГИ!$Q$1:$AJ$2,2)))=1,CONCATENATE("при измерении ",$Q22," ",AI$6," не допускается ! "),"")</f>
      </c>
      <c r="AJ22" s="1">
        <f t="shared" si="0"/>
      </c>
      <c r="AL22" s="1">
        <v>1</v>
      </c>
      <c r="AM22" s="1" t="s">
        <v>632</v>
      </c>
    </row>
    <row r="23" spans="1:39" ht="33" customHeight="1" thickBot="1">
      <c r="A23" s="513" t="str">
        <f>IF(OR('И21,И22-стационарные с вын. БД'!P7=1,'И21,И22-стационарные с вын. БД'!P9&gt;0,'И21,И22-стационарные с вын. БД'!P8&gt;0,),сообщения!AL5,сообщения!AL4)</f>
        <v>(з)</v>
      </c>
      <c r="B23" s="876" t="s">
        <v>682</v>
      </c>
      <c r="C23" s="609" t="str">
        <f>IF(E23="",C26,E23)</f>
        <v>ЦЕНЫ без взрывозащиты</v>
      </c>
      <c r="E23" s="609">
        <f>IF(E26="",IF(E27="",IF(E28="","",E28),E27),E26)</f>
      </c>
      <c r="I23" s="578" t="s">
        <v>577</v>
      </c>
      <c r="J23" s="1"/>
      <c r="K23" s="641"/>
      <c r="L23" s="903" t="s">
        <v>587</v>
      </c>
      <c r="M23" s="906">
        <f>'И21,И22-стационарные с вын. БД'!K23</f>
      </c>
      <c r="N23" s="512">
        <f>IF(SUM('И21,И22-стационарные с вын. БД'!$C$7:$C$24)&gt;8,IF(OR('И21,И22-стационарные с вын. БД'!B23="O3",'И21,И22-стационарные с вын. БД'!B23="F2"),"--",VLOOKUP('И21,И22-стационарные с вын. БД'!B23,СГИ!$A$8:$G$27,IF(N$6=сообщения!I$3,3,4),TRUE)+VLOOKUP('И21,И22-стационарные с вын. БД'!B23,СГИ!$A$8:$G$27,2,TRUE)),VLOOKUP('И21,И22-стационарные с вын. БД'!B23,СГИ!$A$8:$G$27,IF(N$6=сообщения!I$3,3,4),TRUE))</f>
        <v>10210</v>
      </c>
      <c r="O23" s="513">
        <f>IF('И21,И22-стационарные с вын. БД'!M23&gt;0,VLOOKUP(M23,СГИ!$A$8:$G$27,IF(N$6=сообщения!I$3,5,6),TRUE),"")</f>
      </c>
      <c r="Q23" s="648">
        <f>IF(сообщения!M23="","",сообщения!M23)</f>
      </c>
      <c r="R23" s="621">
        <f>IF(IF(ISNA(INDEX(СГИ!$Q$3:$AJ$22,VLOOKUP($Q23,СГИ!$O$3:$P$22,2),HLOOKUP(R$6,СГИ!$Q$1:$AJ$2,2))),"",INDEX(СГИ!$Q$3:$AJ$22,VLOOKUP($Q23,СГИ!$O$3:$P$22,2),HLOOKUP(R$6,СГИ!$Q$1:$AJ$2,2)))=1,CONCATENATE("при измерении ",$Q23," ",R$6," не допускается ! "),"")</f>
      </c>
      <c r="S23" s="621">
        <f>IF(IF(ISNA(INDEX(СГИ!$Q$3:$AJ$22,VLOOKUP($Q23,СГИ!$O$3:$P$22,2),HLOOKUP(S$6,СГИ!$Q$1:$AJ$2,2))),"",INDEX(СГИ!$Q$3:$AJ$22,VLOOKUP($Q23,СГИ!$O$3:$P$22,2),HLOOKUP(S$6,СГИ!$Q$1:$AJ$2,2)))=1,CONCATENATE("при измерении ",$Q23," ",S$6," не допускается ! "),"")</f>
      </c>
      <c r="T23" s="621">
        <f>IF(IF(ISNA(INDEX(СГИ!$Q$3:$AJ$22,VLOOKUP($Q23,СГИ!$O$3:$P$22,2),HLOOKUP(T$6,СГИ!$Q$1:$AJ$2,2))),"",INDEX(СГИ!$Q$3:$AJ$22,VLOOKUP($Q23,СГИ!$O$3:$P$22,2),HLOOKUP(T$6,СГИ!$Q$1:$AJ$2,2)))=1,CONCATENATE("при измерении ",$Q23," ",T$6," не допускается ! "),"")</f>
      </c>
      <c r="U23" s="621">
        <f>IF(IF(ISNA(INDEX(СГИ!$Q$3:$AJ$22,VLOOKUP($Q23,СГИ!$O$3:$P$22,2),HLOOKUP(U$6,СГИ!$Q$1:$AJ$2,2))),"",INDEX(СГИ!$Q$3:$AJ$22,VLOOKUP($Q23,СГИ!$O$3:$P$22,2),HLOOKUP(U$6,СГИ!$Q$1:$AJ$2,2)))=1,CONCATENATE("при измерении ",$Q23," ",U$6," не допускается ! "),"")</f>
      </c>
      <c r="V23" s="621">
        <f>IF(IF(ISNA(INDEX(СГИ!$Q$3:$AJ$22,VLOOKUP($Q23,СГИ!$O$3:$P$22,2),HLOOKUP(V$6,СГИ!$Q$1:$AJ$2,2))),"",INDEX(СГИ!$Q$3:$AJ$22,VLOOKUP($Q23,СГИ!$O$3:$P$22,2),HLOOKUP(V$6,СГИ!$Q$1:$AJ$2,2)))=1,CONCATENATE("при измерении ",$Q23," ",V$6," не допускается ! "),"")</f>
      </c>
      <c r="W23" s="621">
        <f>IF(IF(ISNA(INDEX(СГИ!$Q$3:$AJ$22,VLOOKUP($Q23,СГИ!$O$3:$P$22,2),HLOOKUP(W$6,СГИ!$Q$1:$AJ$2,2))),"",INDEX(СГИ!$Q$3:$AJ$22,VLOOKUP($Q23,СГИ!$O$3:$P$22,2),HLOOKUP(W$6,СГИ!$Q$1:$AJ$2,2)))=1,CONCATENATE("при измерении ",$Q23," ",W$6," не допускается ! "),"")</f>
      </c>
      <c r="X23" s="621">
        <f>IF(IF(ISNA(INDEX(СГИ!$Q$3:$AJ$22,VLOOKUP($Q23,СГИ!$O$3:$P$22,2),HLOOKUP(X$6,СГИ!$Q$1:$AJ$2,2))),"",INDEX(СГИ!$Q$3:$AJ$22,VLOOKUP($Q23,СГИ!$O$3:$P$22,2),HLOOKUP(X$6,СГИ!$Q$1:$AJ$2,2)))=1,CONCATENATE("при измерении ",$Q23," ",X$6," не допускается ! "),"")</f>
      </c>
      <c r="Y23" s="621">
        <f>IF(IF(ISNA(INDEX(СГИ!$Q$3:$AJ$22,VLOOKUP($Q23,СГИ!$O$3:$P$22,2),HLOOKUP(Y$6,СГИ!$Q$1:$AJ$2,2))),"",INDEX(СГИ!$Q$3:$AJ$22,VLOOKUP($Q23,СГИ!$O$3:$P$22,2),HLOOKUP(Y$6,СГИ!$Q$1:$AJ$2,2)))=1,CONCATENATE("при измерении ",$Q23," ",Y$6," не допускается ! "),"")</f>
      </c>
      <c r="Z23" s="621">
        <f>IF(IF(ISNA(INDEX(СГИ!$Q$3:$AJ$22,VLOOKUP($Q23,СГИ!$O$3:$P$22,2),HLOOKUP(Z$6,СГИ!$Q$1:$AJ$2,2))),"",INDEX(СГИ!$Q$3:$AJ$22,VLOOKUP($Q23,СГИ!$O$3:$P$22,2),HLOOKUP(Z$6,СГИ!$Q$1:$AJ$2,2)))=1,CONCATENATE("при измерении ",$Q23," ",Z$6," не допускается ! "),"")</f>
      </c>
      <c r="AA23" s="621">
        <f>IF(IF(ISNA(INDEX(СГИ!$Q$3:$AJ$22,VLOOKUP($Q23,СГИ!$O$3:$P$22,2),HLOOKUP(AA$6,СГИ!$Q$1:$AJ$2,2))),"",INDEX(СГИ!$Q$3:$AJ$22,VLOOKUP($Q23,СГИ!$O$3:$P$22,2),HLOOKUP(AA$6,СГИ!$Q$1:$AJ$2,2)))=1,CONCATENATE("при измерении ",$Q23," ",AA$6," не допускается ! "),"")</f>
      </c>
      <c r="AB23" s="621">
        <f>IF(IF(ISNA(INDEX(СГИ!$Q$3:$AJ$22,VLOOKUP($Q23,СГИ!$O$3:$P$22,2),HLOOKUP(AB$6,СГИ!$Q$1:$AJ$2,2))),"",INDEX(СГИ!$Q$3:$AJ$22,VLOOKUP($Q23,СГИ!$O$3:$P$22,2),HLOOKUP(AB$6,СГИ!$Q$1:$AJ$2,2)))=1,CONCATENATE("при измерении ",$Q23," ",AB$6," не допускается ! "),"")</f>
      </c>
      <c r="AC23" s="621">
        <f>IF(IF(ISNA(INDEX(СГИ!$Q$3:$AJ$22,VLOOKUP($Q23,СГИ!$O$3:$P$22,2),HLOOKUP(AC$6,СГИ!$Q$1:$AJ$2,2))),"",INDEX(СГИ!$Q$3:$AJ$22,VLOOKUP($Q23,СГИ!$O$3:$P$22,2),HLOOKUP(AC$6,СГИ!$Q$1:$AJ$2,2)))=1,CONCATENATE("при измерении ",$Q23," ",AC$6," не допускается ! "),"")</f>
      </c>
      <c r="AD23" s="621">
        <f>IF(IF(ISNA(INDEX(СГИ!$Q$3:$AJ$22,VLOOKUP($Q23,СГИ!$O$3:$P$22,2),HLOOKUP(AD$6,СГИ!$Q$1:$AJ$2,2))),"",INDEX(СГИ!$Q$3:$AJ$22,VLOOKUP($Q23,СГИ!$O$3:$P$22,2),HLOOKUP(AD$6,СГИ!$Q$1:$AJ$2,2)))=1,CONCATENATE("при измерении ",$Q23," ",AD$6," не допускается ! "),"")</f>
      </c>
      <c r="AE23" s="621">
        <f>IF(IF(ISNA(INDEX(СГИ!$Q$3:$AJ$22,VLOOKUP($Q23,СГИ!$O$3:$P$22,2),HLOOKUP(AE$6,СГИ!$Q$1:$AJ$2,2))),"",INDEX(СГИ!$Q$3:$AJ$22,VLOOKUP($Q23,СГИ!$O$3:$P$22,2),HLOOKUP(AE$6,СГИ!$Q$1:$AJ$2,2)))=1,CONCATENATE("при измерении ",$Q23," ",AE$6," не допускается ! "),"")</f>
      </c>
      <c r="AF23" s="621">
        <f>IF(IF(ISNA(INDEX(СГИ!$Q$3:$AJ$22,VLOOKUP($Q23,СГИ!$O$3:$P$22,2),HLOOKUP(AF$6,СГИ!$Q$1:$AJ$2,2))),"",INDEX(СГИ!$Q$3:$AJ$22,VLOOKUP($Q23,СГИ!$O$3:$P$22,2),HLOOKUP(AF$6,СГИ!$Q$1:$AJ$2,2)))=1,CONCATENATE("при измерении ",$Q23," ",AF$6," не допускается ! "),"")</f>
      </c>
      <c r="AG23" s="621">
        <f>IF(IF(ISNA(INDEX(СГИ!$Q$3:$AJ$22,VLOOKUP($Q23,СГИ!$O$3:$P$22,2),HLOOKUP(AG$6,СГИ!$Q$1:$AJ$2,2))),"",INDEX(СГИ!$Q$3:$AJ$22,VLOOKUP($Q23,СГИ!$O$3:$P$22,2),HLOOKUP(AG$6,СГИ!$Q$1:$AJ$2,2)))=1,CONCATENATE("при измерении ",$Q23," ",AG$6," не допускается ! "),"")</f>
      </c>
      <c r="AH23" s="621">
        <f>IF(IF(ISNA(INDEX(СГИ!$Q$3:$AJ$22,VLOOKUP($Q23,СГИ!$O$3:$P$22,2),HLOOKUP(AH$6,СГИ!$Q$1:$AJ$2,2))),"",INDEX(СГИ!$Q$3:$AJ$22,VLOOKUP($Q23,СГИ!$O$3:$P$22,2),HLOOKUP(AH$6,СГИ!$Q$1:$AJ$2,2)))=1,CONCATENATE("при измерении ",$Q23," ",AH$6," не допускается ! "),"")</f>
      </c>
      <c r="AI23" s="649">
        <f>IF(IF(ISNA(INDEX(СГИ!$Q$3:$AJ$22,VLOOKUP($Q23,СГИ!$O$3:$P$22,2),HLOOKUP(AI$6,СГИ!$Q$1:$AJ$2,2))),"",INDEX(СГИ!$Q$3:$AJ$22,VLOOKUP($Q23,СГИ!$O$3:$P$22,2),HLOOKUP(AI$6,СГИ!$Q$1:$AJ$2,2)))=1,CONCATENATE("при измерении ",$Q23," ",AI$6," не допускается ! "),"")</f>
      </c>
      <c r="AJ23" s="1">
        <f t="shared" si="0"/>
      </c>
      <c r="AL23" s="1">
        <v>0</v>
      </c>
      <c r="AM23" s="1" t="s">
        <v>631</v>
      </c>
    </row>
    <row r="24" spans="1:39" ht="33" customHeight="1" thickBot="1">
      <c r="A24" s="513" t="str">
        <f>IF('И21,И22-стационарные с вын. БД'!P6=1,сообщения!AL7,IF('И21,И22-стационарные с вын. БД'!C29='И21,И22-стационарные с вын. БД'!C26,"/",(IF('И21,И22-стационарные с вын. БД'!P9=1,сообщения!AL9,сообщения!AL6))))</f>
        <v>/</v>
      </c>
      <c r="B24" s="876" t="s">
        <v>683</v>
      </c>
      <c r="C24" s="570" t="s">
        <v>730</v>
      </c>
      <c r="E24" s="570" t="s">
        <v>727</v>
      </c>
      <c r="H24" s="887"/>
      <c r="I24" s="578" t="s">
        <v>886</v>
      </c>
      <c r="J24" s="1"/>
      <c r="K24" s="639" t="s">
        <v>588</v>
      </c>
      <c r="L24" s="904">
        <v>330</v>
      </c>
      <c r="M24" s="907">
        <f>'И21,И22-стационарные с вын. БД'!K24</f>
      </c>
      <c r="N24" s="512">
        <f>IF(SUM('И21,И22-стационарные с вын. БД'!$C$7:$C$24)&gt;8,IF(OR('И21,И22-стационарные с вын. БД'!B24="O3",'И21,И22-стационарные с вын. БД'!B24="F2"),"--",VLOOKUP('И21,И22-стационарные с вын. БД'!B24,СГИ!$A$8:$G$27,IF(N$6=сообщения!I$3,3,4),TRUE)+VLOOKUP('И21,И22-стационарные с вын. БД'!B24,СГИ!$A$8:$G$27,2,TRUE)),VLOOKUP('И21,И22-стационарные с вын. БД'!B24,СГИ!$A$8:$G$27,IF(N$6=сообщения!I$3,3,4),TRUE))</f>
        <v>16340</v>
      </c>
      <c r="O24" s="514">
        <f>IF('И21,И22-стационарные с вын. БД'!M24&gt;0,VLOOKUP(M24,СГИ!$A$8:$G$27,IF(N$6=сообщения!I$3,5,6),TRUE),"")</f>
      </c>
      <c r="Q24" s="652">
        <f>IF(сообщения!M24="","",сообщения!M24)</f>
      </c>
      <c r="R24" s="653">
        <f>IF(IF(ISNA(INDEX(СГИ!$Q$3:$AJ$22,VLOOKUP($Q24,СГИ!$O$3:$P$22,2),HLOOKUP(R$6,СГИ!$Q$1:$AJ$2,2))),"",INDEX(СГИ!$Q$3:$AJ$22,VLOOKUP($Q24,СГИ!$O$3:$P$22,2),HLOOKUP(R$6,СГИ!$Q$1:$AJ$2,2)))=1,CONCATENATE("при измерении ",$Q24," ",R$6," не допускается ! "),"")</f>
      </c>
      <c r="S24" s="653">
        <f>IF(IF(ISNA(INDEX(СГИ!$Q$3:$AJ$22,VLOOKUP($Q24,СГИ!$O$3:$P$22,2),HLOOKUP(S$6,СГИ!$Q$1:$AJ$2,2))),"",INDEX(СГИ!$Q$3:$AJ$22,VLOOKUP($Q24,СГИ!$O$3:$P$22,2),HLOOKUP(S$6,СГИ!$Q$1:$AJ$2,2)))=1,CONCATENATE("при измерении ",$Q24," ",S$6," не допускается ! "),"")</f>
      </c>
      <c r="T24" s="653">
        <f>IF(IF(ISNA(INDEX(СГИ!$Q$3:$AJ$22,VLOOKUP($Q24,СГИ!$O$3:$P$22,2),HLOOKUP(T$6,СГИ!$Q$1:$AJ$2,2))),"",INDEX(СГИ!$Q$3:$AJ$22,VLOOKUP($Q24,СГИ!$O$3:$P$22,2),HLOOKUP(T$6,СГИ!$Q$1:$AJ$2,2)))=1,CONCATENATE("при измерении ",$Q24," ",T$6," не допускается ! "),"")</f>
      </c>
      <c r="U24" s="653">
        <f>IF(IF(ISNA(INDEX(СГИ!$Q$3:$AJ$22,VLOOKUP($Q24,СГИ!$O$3:$P$22,2),HLOOKUP(U$6,СГИ!$Q$1:$AJ$2,2))),"",INDEX(СГИ!$Q$3:$AJ$22,VLOOKUP($Q24,СГИ!$O$3:$P$22,2),HLOOKUP(U$6,СГИ!$Q$1:$AJ$2,2)))=1,CONCATENATE("при измерении ",$Q24," ",U$6," не допускается ! "),"")</f>
      </c>
      <c r="V24" s="653">
        <f>IF(IF(ISNA(INDEX(СГИ!$Q$3:$AJ$22,VLOOKUP($Q24,СГИ!$O$3:$P$22,2),HLOOKUP(V$6,СГИ!$Q$1:$AJ$2,2))),"",INDEX(СГИ!$Q$3:$AJ$22,VLOOKUP($Q24,СГИ!$O$3:$P$22,2),HLOOKUP(V$6,СГИ!$Q$1:$AJ$2,2)))=1,CONCATENATE("при измерении ",$Q24," ",V$6," не допускается ! "),"")</f>
      </c>
      <c r="W24" s="653">
        <f>IF(IF(ISNA(INDEX(СГИ!$Q$3:$AJ$22,VLOOKUP($Q24,СГИ!$O$3:$P$22,2),HLOOKUP(W$6,СГИ!$Q$1:$AJ$2,2))),"",INDEX(СГИ!$Q$3:$AJ$22,VLOOKUP($Q24,СГИ!$O$3:$P$22,2),HLOOKUP(W$6,СГИ!$Q$1:$AJ$2,2)))=1,CONCATENATE("при измерении ",$Q24," ",W$6," не допускается ! "),"")</f>
      </c>
      <c r="X24" s="653">
        <f>IF(IF(ISNA(INDEX(СГИ!$Q$3:$AJ$22,VLOOKUP($Q24,СГИ!$O$3:$P$22,2),HLOOKUP(X$6,СГИ!$Q$1:$AJ$2,2))),"",INDEX(СГИ!$Q$3:$AJ$22,VLOOKUP($Q24,СГИ!$O$3:$P$22,2),HLOOKUP(X$6,СГИ!$Q$1:$AJ$2,2)))=1,CONCATENATE("при измерении ",$Q24," ",X$6," не допускается ! "),"")</f>
      </c>
      <c r="Y24" s="653">
        <f>IF(IF(ISNA(INDEX(СГИ!$Q$3:$AJ$22,VLOOKUP($Q24,СГИ!$O$3:$P$22,2),HLOOKUP(Y$6,СГИ!$Q$1:$AJ$2,2))),"",INDEX(СГИ!$Q$3:$AJ$22,VLOOKUP($Q24,СГИ!$O$3:$P$22,2),HLOOKUP(Y$6,СГИ!$Q$1:$AJ$2,2)))=1,CONCATENATE("при измерении ",$Q24," ",Y$6," не допускается ! "),"")</f>
      </c>
      <c r="Z24" s="653">
        <f>IF(IF(ISNA(INDEX(СГИ!$Q$3:$AJ$22,VLOOKUP($Q24,СГИ!$O$3:$P$22,2),HLOOKUP(Z$6,СГИ!$Q$1:$AJ$2,2))),"",INDEX(СГИ!$Q$3:$AJ$22,VLOOKUP($Q24,СГИ!$O$3:$P$22,2),HLOOKUP(Z$6,СГИ!$Q$1:$AJ$2,2)))=1,CONCATENATE("при измерении ",$Q24," ",Z$6," не допускается ! "),"")</f>
      </c>
      <c r="AA24" s="653">
        <f>IF(IF(ISNA(INDEX(СГИ!$Q$3:$AJ$22,VLOOKUP($Q24,СГИ!$O$3:$P$22,2),HLOOKUP(AA$6,СГИ!$Q$1:$AJ$2,2))),"",INDEX(СГИ!$Q$3:$AJ$22,VLOOKUP($Q24,СГИ!$O$3:$P$22,2),HLOOKUP(AA$6,СГИ!$Q$1:$AJ$2,2)))=1,CONCATENATE("при измерении ",$Q24," ",AA$6," не допускается ! "),"")</f>
      </c>
      <c r="AB24" s="653">
        <f>IF(IF(ISNA(INDEX(СГИ!$Q$3:$AJ$22,VLOOKUP($Q24,СГИ!$O$3:$P$22,2),HLOOKUP(AB$6,СГИ!$Q$1:$AJ$2,2))),"",INDEX(СГИ!$Q$3:$AJ$22,VLOOKUP($Q24,СГИ!$O$3:$P$22,2),HLOOKUP(AB$6,СГИ!$Q$1:$AJ$2,2)))=1,CONCATENATE("при измерении ",$Q24," ",AB$6," не допускается ! "),"")</f>
      </c>
      <c r="AC24" s="653">
        <f>IF(IF(ISNA(INDEX(СГИ!$Q$3:$AJ$22,VLOOKUP($Q24,СГИ!$O$3:$P$22,2),HLOOKUP(AC$6,СГИ!$Q$1:$AJ$2,2))),"",INDEX(СГИ!$Q$3:$AJ$22,VLOOKUP($Q24,СГИ!$O$3:$P$22,2),HLOOKUP(AC$6,СГИ!$Q$1:$AJ$2,2)))=1,CONCATENATE("при измерении ",$Q24," ",AC$6," не допускается ! "),"")</f>
      </c>
      <c r="AD24" s="653">
        <f>IF(IF(ISNA(INDEX(СГИ!$Q$3:$AJ$22,VLOOKUP($Q24,СГИ!$O$3:$P$22,2),HLOOKUP(AD$6,СГИ!$Q$1:$AJ$2,2))),"",INDEX(СГИ!$Q$3:$AJ$22,VLOOKUP($Q24,СГИ!$O$3:$P$22,2),HLOOKUP(AD$6,СГИ!$Q$1:$AJ$2,2)))=1,CONCATENATE("при измерении ",$Q24," ",AD$6," не допускается ! "),"")</f>
      </c>
      <c r="AE24" s="653">
        <f>IF(IF(ISNA(INDEX(СГИ!$Q$3:$AJ$22,VLOOKUP($Q24,СГИ!$O$3:$P$22,2),HLOOKUP(AE$6,СГИ!$Q$1:$AJ$2,2))),"",INDEX(СГИ!$Q$3:$AJ$22,VLOOKUP($Q24,СГИ!$O$3:$P$22,2),HLOOKUP(AE$6,СГИ!$Q$1:$AJ$2,2)))=1,CONCATENATE("при измерении ",$Q24," ",AE$6," не допускается ! "),"")</f>
      </c>
      <c r="AF24" s="653">
        <f>IF(IF(ISNA(INDEX(СГИ!$Q$3:$AJ$22,VLOOKUP($Q24,СГИ!$O$3:$P$22,2),HLOOKUP(AF$6,СГИ!$Q$1:$AJ$2,2))),"",INDEX(СГИ!$Q$3:$AJ$22,VLOOKUP($Q24,СГИ!$O$3:$P$22,2),HLOOKUP(AF$6,СГИ!$Q$1:$AJ$2,2)))=1,CONCATENATE("при измерении ",$Q24," ",AF$6," не допускается ! "),"")</f>
      </c>
      <c r="AG24" s="653">
        <f>IF(IF(ISNA(INDEX(СГИ!$Q$3:$AJ$22,VLOOKUP($Q24,СГИ!$O$3:$P$22,2),HLOOKUP(AG$6,СГИ!$Q$1:$AJ$2,2))),"",INDEX(СГИ!$Q$3:$AJ$22,VLOOKUP($Q24,СГИ!$O$3:$P$22,2),HLOOKUP(AG$6,СГИ!$Q$1:$AJ$2,2)))=1,CONCATENATE("при измерении ",$Q24," ",AG$6," не допускается ! "),"")</f>
      </c>
      <c r="AH24" s="653">
        <f>IF(IF(ISNA(INDEX(СГИ!$Q$3:$AJ$22,VLOOKUP($Q24,СГИ!$O$3:$P$22,2),HLOOKUP(AH$6,СГИ!$Q$1:$AJ$2,2))),"",INDEX(СГИ!$Q$3:$AJ$22,VLOOKUP($Q24,СГИ!$O$3:$P$22,2),HLOOKUP(AH$6,СГИ!$Q$1:$AJ$2,2)))=1,CONCATENATE("при измерении ",$Q24," ",AH$6," не допускается ! "),"")</f>
      </c>
      <c r="AI24" s="654">
        <f>IF(IF(ISNA(INDEX(СГИ!$Q$3:$AJ$22,VLOOKUP($Q24,СГИ!$O$3:$P$22,2),HLOOKUP(AI$6,СГИ!$Q$1:$AJ$2,2))),"",INDEX(СГИ!$Q$3:$AJ$22,VLOOKUP($Q24,СГИ!$O$3:$P$22,2),HLOOKUP(AI$6,СГИ!$Q$1:$AJ$2,2)))=1,CONCATENATE("при измерении ",$Q24," ",AI$6," не допускается ! "),"")</f>
      </c>
      <c r="AJ24" s="1">
        <f t="shared" si="0"/>
      </c>
      <c r="AL24" s="1">
        <v>1</v>
      </c>
      <c r="AM24" s="1" t="s">
        <v>630</v>
      </c>
    </row>
    <row r="25" spans="1:39" ht="33" customHeight="1" thickBot="1">
      <c r="A25" s="513" t="str">
        <f>AL8</f>
        <v>/50</v>
      </c>
      <c r="B25" s="876"/>
      <c r="C25" s="570"/>
      <c r="E25" s="570"/>
      <c r="H25" s="887"/>
      <c r="I25" s="578"/>
      <c r="J25" s="1"/>
      <c r="K25" s="639"/>
      <c r="L25" s="965"/>
      <c r="M25" s="966"/>
      <c r="N25" s="595"/>
      <c r="O25" s="595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1"/>
      <c r="AL25" s="842" t="s">
        <v>649</v>
      </c>
      <c r="AM25" s="1" t="s">
        <v>650</v>
      </c>
    </row>
    <row r="26" spans="1:14" ht="33" customHeight="1" thickBot="1">
      <c r="A26" s="513">
        <f>IF('И21,И22-стационарные с вын. БД'!P8=1,AL10,"")</f>
      </c>
      <c r="B26" s="876" t="s">
        <v>684</v>
      </c>
      <c r="C26" s="609" t="str">
        <f>IF('И21,И22-стационарные с вын. БД'!C$29&gt;0,сообщения!I$30,сообщения!I$28)</f>
        <v>ЦЕНЫ без взрывозащиты</v>
      </c>
      <c r="E26" s="609">
        <f>IF('И21,И22-стационарные с вын. БД'!I$6=$I$12,сообщения!I$27,"")</f>
      </c>
      <c r="F26" s="277" t="s">
        <v>728</v>
      </c>
      <c r="I26" s="578" t="s">
        <v>749</v>
      </c>
      <c r="J26" s="1"/>
      <c r="K26" s="639" t="s">
        <v>589</v>
      </c>
      <c r="L26" s="642">
        <v>1100</v>
      </c>
      <c r="M26" s="1"/>
      <c r="N26" s="1"/>
    </row>
    <row r="27" spans="1:36" ht="33" customHeight="1" thickBot="1">
      <c r="A27" s="513" t="str">
        <f>IF('И21,И22-стационарные с вын. БД'!P13=1,сообщения!AL11,IF(AND('И21,И22-стационарные с вын. БД'!C26&lt;3,NOT('И21,И22-стационарные с вын. БД'!P12=1),NOT('И21,И22-стационарные с вын. БД'!C29&gt;0)),сообщения!AL12,сообщения!AL13))</f>
        <v>-Д2</v>
      </c>
      <c r="B27" s="876" t="s">
        <v>685</v>
      </c>
      <c r="E27" s="609">
        <f>IF(E$13=I$21,I$31,"")</f>
      </c>
      <c r="F27" s="277" t="s">
        <v>716</v>
      </c>
      <c r="I27" s="578" t="s">
        <v>580</v>
      </c>
      <c r="K27" s="640" t="s">
        <v>590</v>
      </c>
      <c r="L27" s="643">
        <v>-3000</v>
      </c>
      <c r="M27" s="517"/>
      <c r="N27" s="517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4" ht="33" customHeight="1" thickBot="1">
      <c r="A28" s="513" t="str">
        <f>IF('И21,И22-стационарные с вын. БД'!P14&gt;=1,сообщения!AL16,сообщения!AL15)</f>
        <v>Т1</v>
      </c>
      <c r="B28" s="876" t="s">
        <v>686</v>
      </c>
      <c r="E28" s="609">
        <f>IF('И21,И22-стационарные с вын. БД'!I8=$I$12,I$28,"")</f>
      </c>
      <c r="F28" s="277" t="s">
        <v>729</v>
      </c>
      <c r="I28" s="578" t="s">
        <v>582</v>
      </c>
      <c r="K28" s="1"/>
      <c r="L28" s="1"/>
      <c r="M28" s="51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3" customHeight="1">
      <c r="A29" s="513" t="str">
        <f>IF('И21,И22-стационарные с вын. БД'!P15=1,AL17,AL18)</f>
        <v>Ц2</v>
      </c>
      <c r="B29" s="876" t="s">
        <v>754</v>
      </c>
      <c r="E29" s="277"/>
      <c r="F29" s="277"/>
      <c r="I29" s="578"/>
      <c r="K29" s="1"/>
      <c r="L29" s="1"/>
      <c r="M29" s="51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3" customHeight="1">
      <c r="A30" s="513" t="s">
        <v>755</v>
      </c>
      <c r="B30" s="876" t="s">
        <v>760</v>
      </c>
      <c r="I30" s="578" t="s">
        <v>583</v>
      </c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3" customHeight="1">
      <c r="A31" s="874" t="str">
        <f>AL25</f>
        <v>~220</v>
      </c>
      <c r="B31" s="876" t="s">
        <v>687</v>
      </c>
      <c r="I31" s="578" t="s">
        <v>585</v>
      </c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3" customHeight="1" thickBot="1">
      <c r="A32" s="514">
        <f>IF('И21,И22-стационарные с вын. БД'!I8=I13,"-Ex","")</f>
      </c>
      <c r="B32" s="876" t="s">
        <v>759</v>
      </c>
      <c r="I32"/>
      <c r="K32" s="1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3" ht="33" customHeight="1" thickBot="1">
      <c r="A33" s="570" t="s">
        <v>700</v>
      </c>
      <c r="B33" s="198"/>
      <c r="I33"/>
      <c r="K33" s="1"/>
      <c r="L33" s="1"/>
      <c r="M33" s="1"/>
    </row>
    <row r="34" spans="1:13" ht="33" customHeight="1">
      <c r="A34" s="506">
        <f>IF('И21,И22-стационарные с вын. БД'!M7&gt;0,"92","")</f>
      </c>
      <c r="B34" s="864" t="s">
        <v>691</v>
      </c>
      <c r="I34"/>
      <c r="K34" s="1"/>
      <c r="L34" s="1"/>
      <c r="M34" s="1"/>
    </row>
    <row r="35" spans="1:13" ht="33" customHeight="1">
      <c r="A35" s="507">
        <f>IF(AND('И21,И22-стационарные с вын. БД'!C27+'И21,И22-стационарные с вын. БД'!M13&gt;0,'И21,И22-стационарные с вын. БД'!C27+'И21,И22-стационарные с вын. БД'!M13&lt;17),"М","")</f>
      </c>
      <c r="B35" s="864" t="s">
        <v>690</v>
      </c>
      <c r="H35" s="887"/>
      <c r="I35"/>
      <c r="K35" s="1"/>
      <c r="L35" s="1"/>
      <c r="M35" s="1"/>
    </row>
    <row r="36" spans="1:13" ht="33" customHeight="1" thickBot="1">
      <c r="A36" s="508">
        <f>IF('И21,И22-стационарные с вын. БД'!C28&gt;0,IF('И21,И22-стационарные с вын. БД'!C23+'И21,И22-стационарные с вын. БД'!C24&gt;0,"","Т"),"")</f>
      </c>
      <c r="B36" s="864" t="s">
        <v>689</v>
      </c>
      <c r="I36"/>
      <c r="K36" s="822"/>
      <c r="L36" s="822"/>
      <c r="M36" s="822"/>
    </row>
    <row r="37" spans="1:13" ht="33" customHeight="1">
      <c r="A37" s="871">
        <f>IF(AND('И21,И22-стационарные с вын. БД'!C26='И21,И22-стационарные с вын. БД'!M7,'И21,И22-стационарные с вын. БД'!C26&lt;2),"",'И21,И22-стационарные с вын. БД'!L7)</f>
      </c>
      <c r="B37" s="864" t="s">
        <v>698</v>
      </c>
      <c r="I37"/>
      <c r="K37" s="579"/>
      <c r="L37" s="579"/>
      <c r="M37" s="579"/>
    </row>
    <row r="38" spans="1:13" ht="33" customHeight="1">
      <c r="A38" s="872" t="str">
        <f>IF('И21,И22-стационарные с вын. БД'!C26='И21,И22-стационарные с вын. БД'!M8,"H2",'И21,И22-стационарные с вын. БД'!L8)</f>
        <v>H2</v>
      </c>
      <c r="B38" s="864" t="s">
        <v>692</v>
      </c>
      <c r="I38"/>
      <c r="K38" s="1"/>
      <c r="L38" s="1"/>
      <c r="M38" s="1"/>
    </row>
    <row r="39" spans="1:13" ht="33" customHeight="1">
      <c r="A39" s="872">
        <f>IF('И21,И22-стационарные с вын. БД'!C$26='И21,И22-стационарные с вын. БД'!M9,IF('И21,И22-стационарные с вын. БД'!M9=1,I39,'И21,И22-стационарные с вын. БД'!L9),'И21,И22-стационарные с вын. БД'!L9)</f>
      </c>
      <c r="B39" s="864" t="s">
        <v>693</v>
      </c>
      <c r="I39" s="567" t="s">
        <v>808</v>
      </c>
      <c r="K39" s="517"/>
      <c r="L39" s="517"/>
      <c r="M39" s="517"/>
    </row>
    <row r="40" spans="1:13" ht="33" customHeight="1">
      <c r="A40" s="872">
        <f>IF('И21,И22-стационарные с вын. БД'!C$26='И21,И22-стационарные с вын. БД'!M10,IF('И21,И22-стационарные с вын. БД'!M10=1,I40,'И21,И22-стационарные с вын. БД'!L10),'И21,И22-стационарные с вын. БД'!L10)</f>
      </c>
      <c r="B40" s="864" t="s">
        <v>694</v>
      </c>
      <c r="I40" s="567" t="s">
        <v>809</v>
      </c>
      <c r="K40" s="1"/>
      <c r="L40" s="1"/>
      <c r="M40" s="1"/>
    </row>
    <row r="41" spans="1:13" ht="33" customHeight="1">
      <c r="A41" s="872">
        <f>IF('И21,И22-стационарные с вын. БД'!C$26='И21,И22-стационарные с вын. БД'!M11,IF('И21,И22-стационарные с вын. БД'!M11=1,I41,'И21,И22-стационарные с вын. БД'!L11),'И21,И22-стационарные с вын. БД'!L11)</f>
      </c>
      <c r="B41" s="864" t="s">
        <v>695</v>
      </c>
      <c r="I41" s="567" t="s">
        <v>810</v>
      </c>
      <c r="K41" s="1"/>
      <c r="L41" s="1"/>
      <c r="M41" s="1"/>
    </row>
    <row r="42" spans="1:13" ht="33" customHeight="1">
      <c r="A42" s="872">
        <f>IF('И21,И22-стационарные с вын. БД'!C$26='И21,И22-стационарные с вын. БД'!M12,IF('И21,И22-стационарные с вын. БД'!M12=1,I42,'И21,И22-стационарные с вын. БД'!L12),'И21,И22-стационарные с вын. БД'!L12)</f>
      </c>
      <c r="B42" s="864" t="s">
        <v>696</v>
      </c>
      <c r="I42" s="567" t="s">
        <v>811</v>
      </c>
      <c r="K42" s="1"/>
      <c r="L42" s="1"/>
      <c r="M42" s="1"/>
    </row>
    <row r="43" spans="1:13" ht="33" customHeight="1" thickBot="1">
      <c r="A43" s="873">
        <f>IF('И21,И22-стационарные с вын. БД'!C$26='И21,И22-стационарные с вын. БД'!M13,IF('И21,И22-стационарные с вын. БД'!M13=1,I43,'И21,И22-стационарные с вын. БД'!L13),'И21,И22-стационарные с вын. БД'!L13)</f>
      </c>
      <c r="B43" s="864" t="s">
        <v>697</v>
      </c>
      <c r="H43" s="887"/>
      <c r="I43" s="567" t="s">
        <v>809</v>
      </c>
      <c r="K43" s="1"/>
      <c r="L43" s="1"/>
      <c r="M43" s="1"/>
    </row>
    <row r="44" spans="9:36" ht="33" customHeight="1">
      <c r="I44" s="517"/>
      <c r="K44" s="1"/>
      <c r="L44" s="1"/>
      <c r="M44" s="1"/>
      <c r="AJ44" t="s">
        <v>778</v>
      </c>
    </row>
    <row r="45" spans="1:36" ht="33" customHeight="1" thickBot="1">
      <c r="A45" s="824" t="s">
        <v>616</v>
      </c>
      <c r="I45" s="920" t="s">
        <v>752</v>
      </c>
      <c r="K45" s="1"/>
      <c r="L45" s="1"/>
      <c r="M45" s="1"/>
      <c r="AJ45" t="s">
        <v>777</v>
      </c>
    </row>
    <row r="46" spans="1:37" ht="33" customHeight="1" thickBot="1">
      <c r="A46" s="865" t="s">
        <v>675</v>
      </c>
      <c r="B46" s="878" t="s">
        <v>703</v>
      </c>
      <c r="C46" s="877" t="s">
        <v>699</v>
      </c>
      <c r="D46" s="878" t="s">
        <v>670</v>
      </c>
      <c r="E46" s="877" t="s">
        <v>710</v>
      </c>
      <c r="F46" s="878" t="s">
        <v>670</v>
      </c>
      <c r="G46" s="866" t="s">
        <v>712</v>
      </c>
      <c r="H46" s="883" t="s">
        <v>713</v>
      </c>
      <c r="I46" s="655" t="s">
        <v>318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J46" s="1"/>
      <c r="AK46" s="1" t="s">
        <v>657</v>
      </c>
    </row>
    <row r="47" spans="1:37" ht="33" customHeight="1" thickBot="1">
      <c r="A47" s="789">
        <f>IF(C47="",A49,C47)</f>
      </c>
      <c r="B47" s="867" t="str">
        <f>CONCATENATE("- ",ADDRESS(6,8,1,1,"перен. с выносн. БД"))</f>
        <v>- 'перен. с выносн. БД'!$H$6</v>
      </c>
      <c r="C47" s="609">
        <f>IF(AND(C49="",C50="",C51=""),"",$I$55)</f>
      </c>
      <c r="D47" s="867" t="str">
        <f>CONCATENATE("- ",ADDRESS(6,8,1,1,"перен. с выносн. БД"))</f>
        <v>- 'перен. с выносн. БД'!$H$6</v>
      </c>
      <c r="E47" s="609" t="str">
        <f>IF(G47="",E49,G47)</f>
        <v>взрывозащита НЕ предусмотрена</v>
      </c>
      <c r="F47" s="867" t="str">
        <f>CONCATENATE("- ",ADDRESS(8,8,1,1,"перен. с выносн. БД"))</f>
        <v>- 'перен. с выносн. БД'!$H$8</v>
      </c>
      <c r="G47" s="609">
        <f>IF(AND(G49="",G50="",G51="",G52="",G53="",G54="",G55=""),"",I55)</f>
      </c>
      <c r="H47" s="884" t="str">
        <f>CONCATENATE("- ",ADDRESS(8,8,1,1,"перен. с выносн. БД"))</f>
        <v>- 'перен. с выносн. БД'!$H$8</v>
      </c>
      <c r="I47" s="809" t="s">
        <v>595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845" t="s">
        <v>651</v>
      </c>
      <c r="AK47" s="1" t="s">
        <v>652</v>
      </c>
    </row>
    <row r="48" spans="1:37" ht="33" customHeight="1" thickBot="1">
      <c r="A48" s="869" t="s">
        <v>665</v>
      </c>
      <c r="C48" s="870" t="s">
        <v>573</v>
      </c>
      <c r="E48" s="570" t="s">
        <v>747</v>
      </c>
      <c r="H48" s="854" t="s">
        <v>714</v>
      </c>
      <c r="I48" s="610" t="s">
        <v>604</v>
      </c>
      <c r="AJ48" s="845">
        <v>6</v>
      </c>
      <c r="AK48" s="1" t="s">
        <v>653</v>
      </c>
    </row>
    <row r="49" spans="1:37" ht="33" customHeight="1" thickBot="1">
      <c r="A49" s="609">
        <f>IF('И11-Переносные с вын. БД'!$J$26&gt;0,CONCATENATE(IF('И11-Переносные с вын. БД'!$H$2="",$A$54,$A$50),A66,CONCATENATE(AJ62,A67,AJ63),A68,A69,A70,A71,A72,A73,A74,A75),"")</f>
      </c>
      <c r="B49" s="536" t="s">
        <v>674</v>
      </c>
      <c r="C49" s="609">
        <f>IF(C60="","",I$55)</f>
      </c>
      <c r="D49" s="864" t="s">
        <v>743</v>
      </c>
      <c r="E49" s="916" t="str">
        <f>IF('И11-Переносные с вын. БД'!L6=1,I56,I57)</f>
        <v>взрывозащита НЕ предусмотрена</v>
      </c>
      <c r="G49" s="609">
        <f>IF(OR('И11-Переносные с вын. БД'!L$6="",'И11-Переносные с вын. БД'!L$6=1),"",$I$55)</f>
      </c>
      <c r="H49" s="885" t="s">
        <v>715</v>
      </c>
      <c r="I49" s="610" t="s">
        <v>605</v>
      </c>
      <c r="J49" s="448" t="s">
        <v>321</v>
      </c>
      <c r="K49" s="637"/>
      <c r="L49" s="655"/>
      <c r="M49" s="198"/>
      <c r="N49" s="796"/>
      <c r="O49" s="1"/>
      <c r="P49" s="614" t="s">
        <v>322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845" t="s">
        <v>804</v>
      </c>
      <c r="AK49" s="1" t="s">
        <v>658</v>
      </c>
    </row>
    <row r="50" spans="1:37" ht="33" customHeight="1" thickBot="1">
      <c r="A50" s="609" t="str">
        <f>CONCATENATE(A54,IF('И11-Переносные с вын. БД'!H$2=I$46,$A$53,IF('И11-Переносные с вын. БД'!H$2=I$47,A52,"")),'И11-Переносные с вын. БД'!I13,'И11-Переносные с вын. БД'!I14,'И11-Переносные с вын. БД'!I15,'И11-Переносные с вын. БД'!I16,'И11-Переносные с вын. БД'!I17,'И11-Переносные с вын. БД'!I18,'И11-Переносные с вын. БД'!I19,'И11-Переносные с вын. БД'!I20,'И11-Переносные с вын. БД'!I21)</f>
        <v>ОКА--H2-CH4-C3H8-C6H14-CH4</v>
      </c>
      <c r="B50" s="536" t="s">
        <v>674</v>
      </c>
      <c r="C50" s="609">
        <f>IF(C61="","",I$55)</f>
      </c>
      <c r="D50" s="864" t="s">
        <v>745</v>
      </c>
      <c r="E50" s="570"/>
      <c r="G50" s="609">
        <f>IF(AND('И11-Переносные с вын. БД'!L6=1,'И11-Переносные с вын. БД'!D$8=1),$I$55,"")</f>
      </c>
      <c r="H50" s="885" t="s">
        <v>716</v>
      </c>
      <c r="I50" s="610" t="s">
        <v>567</v>
      </c>
      <c r="J50" s="800" t="s">
        <v>356</v>
      </c>
      <c r="K50" s="637" t="s">
        <v>550</v>
      </c>
      <c r="L50" s="655"/>
      <c r="M50" s="198"/>
      <c r="N50" s="595"/>
      <c r="O50" s="790"/>
      <c r="P50" s="791">
        <f>IF(O51="","",O51)</f>
      </c>
      <c r="Q50" s="791">
        <f>IF(O52="","",O52)</f>
      </c>
      <c r="R50" s="791">
        <f>IF(O53="","",O53)</f>
      </c>
      <c r="S50" s="791">
        <f>IF(O54="","",O54)</f>
      </c>
      <c r="T50" s="791">
        <f>IF(O55="","",O55)</f>
      </c>
      <c r="U50" s="792">
        <f>IF(O56="","",O56)</f>
      </c>
      <c r="V50" s="792">
        <f>IF(O57="","",O57)</f>
      </c>
      <c r="W50" s="792">
        <f>IF(O58="","",O58)</f>
      </c>
      <c r="X50" s="792">
        <f>IF(O59="","",O59)</f>
      </c>
      <c r="Y50" s="792">
        <f>IF(O60="","",O60)</f>
      </c>
      <c r="Z50" s="792">
        <f>IF(O61="","",O61)</f>
      </c>
      <c r="AA50" s="792">
        <f>IF(O62="","",O62)</f>
      </c>
      <c r="AB50" s="792">
        <f>IF(O63="","",O63)</f>
      </c>
      <c r="AC50" s="792">
        <f>IF(O64="","",O64)</f>
      </c>
      <c r="AD50" s="792">
        <f>IF(O65="","",O65)</f>
      </c>
      <c r="AE50" s="792">
        <f>IF(O66="","",O66)</f>
      </c>
      <c r="AF50" s="792">
        <f>IF(O67="","",O67)</f>
      </c>
      <c r="AG50" s="655">
        <f>IF(P68="","",P68)</f>
      </c>
      <c r="AH50" s="619">
        <f>CONCATENATE(AH51,AH52,AH57,AH58,AH59,AH60,AH61,AH62,AH63,AH64,AH65,AH66,AH67,AI68)</f>
      </c>
      <c r="AJ50" s="845" t="s">
        <v>804</v>
      </c>
      <c r="AK50" s="1" t="s">
        <v>776</v>
      </c>
    </row>
    <row r="51" spans="1:37" ht="33" customHeight="1" thickBot="1">
      <c r="A51" s="609">
        <f>IF('И11-Переносные с вын. БД'!H$2=I$46,A52,"")</f>
      </c>
      <c r="B51" s="536" t="s">
        <v>597</v>
      </c>
      <c r="C51" s="609">
        <f>IF(E47=I55,I55,"")</f>
      </c>
      <c r="D51" s="864" t="s">
        <v>746</v>
      </c>
      <c r="E51" s="570"/>
      <c r="G51" s="609">
        <f>IF('И11-Переносные с вын. БД'!L6=1,IF(SUM('И11-Переносные с вын. БД'!D9:D11)&lt;2,"",I55),"")</f>
      </c>
      <c r="H51" s="885" t="s">
        <v>731</v>
      </c>
      <c r="I51" s="610" t="s">
        <v>603</v>
      </c>
      <c r="J51" s="801">
        <f>IF('И11-Переносные с вын. БД'!D7&gt;0,IF('И11-Переносные с вын. БД'!H2=сообщения!I47,ПГ!D7,ПГ!E7),"")</f>
      </c>
      <c r="K51" s="807" t="s">
        <v>543</v>
      </c>
      <c r="L51" s="808">
        <f>MAX(J51:J67)</f>
        <v>0</v>
      </c>
      <c r="M51" s="591"/>
      <c r="N51" s="591"/>
      <c r="O51" s="793">
        <f>MID('И11-Переносные с вын. БД'!I7,2,9)</f>
      </c>
      <c r="P51" s="794">
        <f>IF(IF(ISNA(INDEX(СГИ!$Q$3:$AJ$22,VLOOKUP($O51,СГИ!$O$3:$P$22,2),HLOOKUP(P$50,СГИ!$Q$1:$AJ$2,2))),"",INDEX(СГИ!$Q$3:$AJ$22,VLOOKUP($O51,СГИ!$O$3:$P$22,2),HLOOKUP(P$50,СГИ!$Q$1:$AJ$2,2)))=1,CONCATENATE("при измерении ",$O51," ",P$50," не допускается ! "),"")</f>
      </c>
      <c r="Q51" s="794">
        <f>IF(IF(ISNA(INDEX(СГИ!$Q$3:$AJ$22,VLOOKUP($O51,СГИ!$O$3:$P$22,2),HLOOKUP(Q$50,СГИ!$Q$1:$AJ$2,2))),"",INDEX(СГИ!$Q$3:$AJ$22,VLOOKUP($O51,СГИ!$O$3:$P$22,2),HLOOKUP(Q$50,СГИ!$Q$1:$AJ$2,2)))=1,CONCATENATE("при измерении ",$O51," ",Q$50," не допускается ! "),"")</f>
      </c>
      <c r="R51" s="794">
        <f>IF(IF(ISNA(INDEX(СГИ!$Q$3:$AJ$22,VLOOKUP($O51,СГИ!$O$3:$P$22,2),HLOOKUP(R$50,СГИ!$Q$1:$AJ$2,2))),"",INDEX(СГИ!$Q$3:$AJ$22,VLOOKUP($O51,СГИ!$O$3:$P$22,2),HLOOKUP(R$50,СГИ!$Q$1:$AJ$2,2)))=1,CONCATENATE("при измерении ",$O51," ",R$50," не допускается ! "),"")</f>
      </c>
      <c r="S51" s="794">
        <f>IF(IF(ISNA(INDEX(СГИ!$Q$3:$AJ$22,VLOOKUP($O51,СГИ!$O$3:$P$22,2),HLOOKUP(S$50,СГИ!$Q$1:$AJ$2,2))),"",INDEX(СГИ!$Q$3:$AJ$22,VLOOKUP($O51,СГИ!$O$3:$P$22,2),HLOOKUP(S$50,СГИ!$Q$1:$AJ$2,2)))=1,CONCATENATE("при измерении ",$O51," ",S$50," не допускается ! "),"")</f>
      </c>
      <c r="T51" s="794">
        <f>IF(IF(ISNA(INDEX(СГИ!$Q$3:$AJ$22,VLOOKUP($O51,СГИ!$O$3:$P$22,2),HLOOKUP(T$50,СГИ!$Q$1:$AJ$2,2))),"",INDEX(СГИ!$Q$3:$AJ$22,VLOOKUP($O51,СГИ!$O$3:$P$22,2),HLOOKUP(T$50,СГИ!$Q$1:$AJ$2,2)))=1,CONCATENATE("при измерении ",$O51," ",T$50," не допускается ! "),"")</f>
      </c>
      <c r="U51" s="794">
        <f>IF(IF(ISNA(INDEX(СГИ!$Q$3:$AJ$22,VLOOKUP($O51,СГИ!$O$3:$P$22,2),HLOOKUP(U$50,СГИ!$Q$1:$AJ$2,2))),"",INDEX(СГИ!$Q$3:$AJ$22,VLOOKUP($O51,СГИ!$O$3:$P$22,2),HLOOKUP(U$50,СГИ!$Q$1:$AJ$2,2)))=1,CONCATENATE("при измерении ",$O51," ",U$50," не допускается ! "),"")</f>
      </c>
      <c r="V51" s="794">
        <f>IF(IF(ISNA(INDEX(СГИ!$Q$3:$AJ$22,VLOOKUP($O51,СГИ!$O$3:$P$22,2),HLOOKUP(V$50,СГИ!$Q$1:$AJ$2,2))),"",INDEX(СГИ!$Q$3:$AJ$22,VLOOKUP($O51,СГИ!$O$3:$P$22,2),HLOOKUP(V$50,СГИ!$Q$1:$AJ$2,2)))=1,CONCATENATE("при измерении ",$O51," ",V$50," не допускается ! "),"")</f>
      </c>
      <c r="W51" s="794">
        <f>IF(IF(ISNA(INDEX(СГИ!$Q$3:$AJ$22,VLOOKUP($O51,СГИ!$O$3:$P$22,2),HLOOKUP(W$50,СГИ!$Q$1:$AJ$2,2))),"",INDEX(СГИ!$Q$3:$AJ$22,VLOOKUP($O51,СГИ!$O$3:$P$22,2),HLOOKUP(W$50,СГИ!$Q$1:$AJ$2,2)))=1,CONCATENATE("при измерении ",$O51," ",W$50," не допускается ! "),"")</f>
      </c>
      <c r="X51" s="794">
        <f>IF(IF(ISNA(INDEX(СГИ!$Q$3:$AJ$22,VLOOKUP($O51,СГИ!$O$3:$P$22,2),HLOOKUP(X$50,СГИ!$Q$1:$AJ$2,2))),"",INDEX(СГИ!$Q$3:$AJ$22,VLOOKUP($O51,СГИ!$O$3:$P$22,2),HLOOKUP(X$50,СГИ!$Q$1:$AJ$2,2)))=1,CONCATENATE("при измерении ",$O51," ",X$50," не допускается ! "),"")</f>
      </c>
      <c r="Y51" s="794">
        <f>IF(IF(ISNA(INDEX(СГИ!$Q$3:$AJ$22,VLOOKUP($O51,СГИ!$O$3:$P$22,2),HLOOKUP(Y$50,СГИ!$Q$1:$AJ$2,2))),"",INDEX(СГИ!$Q$3:$AJ$22,VLOOKUP($O51,СГИ!$O$3:$P$22,2),HLOOKUP(Y$50,СГИ!$Q$1:$AJ$2,2)))=1,CONCATENATE("при измерении ",$O51," ",Y$50," не допускается ! "),"")</f>
      </c>
      <c r="Z51" s="794">
        <f>IF(IF(ISNA(INDEX(СГИ!$Q$3:$AJ$22,VLOOKUP($O51,СГИ!$O$3:$P$22,2),HLOOKUP(Z$50,СГИ!$Q$1:$AJ$2,2))),"",INDEX(СГИ!$Q$3:$AJ$22,VLOOKUP($O51,СГИ!$O$3:$P$22,2),HLOOKUP(Z$50,СГИ!$Q$1:$AJ$2,2)))=1,CONCATENATE("при измерении ",$O51," ",Z$50," не допускается ! "),"")</f>
      </c>
      <c r="AA51" s="794">
        <f>IF(IF(ISNA(INDEX(СГИ!$Q$3:$AJ$22,VLOOKUP($O51,СГИ!$O$3:$P$22,2),HLOOKUP(AA$50,СГИ!$Q$1:$AJ$2,2))),"",INDEX(СГИ!$Q$3:$AJ$22,VLOOKUP($O51,СГИ!$O$3:$P$22,2),HLOOKUP(AA$50,СГИ!$Q$1:$AJ$2,2)))=1,CONCATENATE("при измерении ",$O51," ",AA$50," не допускается ! "),"")</f>
      </c>
      <c r="AB51" s="794">
        <f>IF(IF(ISNA(INDEX(СГИ!$Q$3:$AJ$22,VLOOKUP($O51,СГИ!$O$3:$P$22,2),HLOOKUP(AB$50,СГИ!$Q$1:$AJ$2,2))),"",INDEX(СГИ!$Q$3:$AJ$22,VLOOKUP($O51,СГИ!$O$3:$P$22,2),HLOOKUP(AB$50,СГИ!$Q$1:$AJ$2,2)))=1,CONCATENATE("при измерении ",$O51," ",AB$50," не допускается ! "),"")</f>
      </c>
      <c r="AC51" s="794">
        <f>IF(IF(ISNA(INDEX(СГИ!$Q$3:$AJ$22,VLOOKUP($O51,СГИ!$O$3:$P$22,2),HLOOKUP(AC$50,СГИ!$Q$1:$AJ$2,2))),"",INDEX(СГИ!$Q$3:$AJ$22,VLOOKUP($O51,СГИ!$O$3:$P$22,2),HLOOKUP(AC$50,СГИ!$Q$1:$AJ$2,2)))=1,CONCATENATE("при измерении ",$O51," ",AC$50," не допускается ! "),"")</f>
      </c>
      <c r="AD51" s="794">
        <f>IF(IF(ISNA(INDEX(СГИ!$Q$3:$AJ$22,VLOOKUP($O51,СГИ!$O$3:$P$22,2),HLOOKUP(AD$50,СГИ!$Q$1:$AJ$2,2))),"",INDEX(СГИ!$Q$3:$AJ$22,VLOOKUP($O51,СГИ!$O$3:$P$22,2),HLOOKUP(AD$50,СГИ!$Q$1:$AJ$2,2)))=1,CONCATENATE("при измерении ",$O51," ",AD$50," не допускается ! "),"")</f>
      </c>
      <c r="AE51" s="794">
        <f>IF(IF(ISNA(INDEX(СГИ!$Q$3:$AJ$22,VLOOKUP($O51,СГИ!$O$3:$P$22,2),HLOOKUP(AE$50,СГИ!$Q$1:$AJ$2,2))),"",INDEX(СГИ!$Q$3:$AJ$22,VLOOKUP($O51,СГИ!$O$3:$P$22,2),HLOOKUP(AE$50,СГИ!$Q$1:$AJ$2,2)))=1,CONCATENATE("при измерении ",$O51," ",AE$50," не допускается ! "),"")</f>
      </c>
      <c r="AF51" s="794">
        <f>IF(IF(ISNA(INDEX(СГИ!$Q$3:$AJ$22,VLOOKUP($O51,СГИ!$O$3:$P$22,2),HLOOKUP(AF$50,СГИ!$Q$1:$AJ$2,2))),"",INDEX(СГИ!$Q$3:$AJ$22,VLOOKUP($O51,СГИ!$O$3:$P$22,2),HLOOKUP(AF$50,СГИ!$Q$1:$AJ$2,2)))=1,CONCATENATE("при измерении ",$O51," ",AF$50," не допускается ! "),"")</f>
      </c>
      <c r="AG51" s="795">
        <f>IF(IF(ISNA(INDEX(СГИ!$Q$3:$AJ$22,VLOOKUP($O51,СГИ!$O$3:$P$22,2),HLOOKUP(AG$50,СГИ!$Q$1:$AJ$2,2))),"",INDEX(СГИ!$Q$3:$AJ$22,VLOOKUP($O51,СГИ!$O$3:$P$22,2),HLOOKUP(AG$50,СГИ!$Q$1:$AJ$2,2)))=1,CONCATENATE("при измерении ",$O51," ",AG$50," не допускается ! "),"")</f>
      </c>
      <c r="AH51" s="1">
        <f aca="true" t="shared" si="1" ref="AH51:AH67">CONCATENATE(P51,Q51,R51,S51,T51,U51,V51,W51,X51,Y51,Z51,AA51,AB51,AC51,AD51,AE51,AF51,AG51)</f>
      </c>
      <c r="AJ51" s="842" t="s">
        <v>640</v>
      </c>
      <c r="AK51" s="1" t="s">
        <v>642</v>
      </c>
    </row>
    <row r="52" spans="1:37" ht="33" customHeight="1" thickBot="1">
      <c r="A52" s="609" t="str">
        <f>IF('И11-Переносные с вын. БД'!$H2=I$47,CONCATENATE(A77,A78,A79,A80,A81,A82,A83,A84,A85),"")</f>
        <v>-H2-CH4-C3H8-C6H14-CH4</v>
      </c>
      <c r="B52" s="536" t="s">
        <v>598</v>
      </c>
      <c r="E52" s="570"/>
      <c r="G52" s="609">
        <f>IF(AND('И11-Переносные с вын. БД'!L6=1,SUM('И11-Переносные с вын. БД'!D9:D11)=1),IF(SUM('И11-Переносные с вын. БД'!D14:D23)&lt;2,"",I55),"")</f>
      </c>
      <c r="H52" s="885" t="s">
        <v>732</v>
      </c>
      <c r="I52" s="610" t="s">
        <v>602</v>
      </c>
      <c r="J52" s="801">
        <f>IF('И11-Переносные с вын. БД'!D8&gt;0,ПГ!D8,"")</f>
      </c>
      <c r="K52" s="804" t="s">
        <v>553</v>
      </c>
      <c r="L52" s="787">
        <f>SUMPRODUCT('И11-Переносные с вын. БД'!J7:J23,IF('И11-Переносные с вын. БД'!H2=сообщения!I47,ПГ!B$7:B$23,ПГ!C$7:C$23))</f>
        <v>0</v>
      </c>
      <c r="M52" s="591"/>
      <c r="N52" s="595"/>
      <c r="O52" s="648">
        <f>MID('И11-Переносные с вын. БД'!I8,2,9)</f>
      </c>
      <c r="P52" s="621">
        <f>IF(IF(ISNA(INDEX(СГИ!$Q$3:$AJ$22,VLOOKUP($O52,СГИ!$O$3:$P$22,2),HLOOKUP(P$50,СГИ!$Q$1:$AJ$2,2))),"",INDEX(СГИ!$Q$3:$AJ$22,VLOOKUP($O52,СГИ!$O$3:$P$22,2),HLOOKUP(P$50,СГИ!$Q$1:$AJ$2,2)))=1,CONCATENATE("при измерении ",$O52," ",P$50," не допускается ! "),"")</f>
      </c>
      <c r="Q52" s="621">
        <f>IF(IF(ISNA(INDEX(СГИ!$Q$3:$AJ$22,VLOOKUP($O52,СГИ!$O$3:$P$22,2),HLOOKUP(Q$50,СГИ!$Q$1:$AJ$2,2))),"",INDEX(СГИ!$Q$3:$AJ$22,VLOOKUP($O52,СГИ!$O$3:$P$22,2),HLOOKUP(Q$50,СГИ!$Q$1:$AJ$2,2)))=1,CONCATENATE("при измерении ",$O52," ",Q$50," не допускается ! "),"")</f>
      </c>
      <c r="R52" s="621">
        <f>IF(IF(ISNA(INDEX(СГИ!$Q$3:$AJ$22,VLOOKUP($O52,СГИ!$O$3:$P$22,2),HLOOKUP(R$50,СГИ!$Q$1:$AJ$2,2))),"",INDEX(СГИ!$Q$3:$AJ$22,VLOOKUP($O52,СГИ!$O$3:$P$22,2),HLOOKUP(R$50,СГИ!$Q$1:$AJ$2,2)))=1,CONCATENATE("при измерении ",$O52," ",R$50," не допускается ! "),"")</f>
      </c>
      <c r="S52" s="621">
        <f>IF(IF(ISNA(INDEX(СГИ!$Q$3:$AJ$22,VLOOKUP($O52,СГИ!$O$3:$P$22,2),HLOOKUP(S$50,СГИ!$Q$1:$AJ$2,2))),"",INDEX(СГИ!$Q$3:$AJ$22,VLOOKUP($O52,СГИ!$O$3:$P$22,2),HLOOKUP(S$50,СГИ!$Q$1:$AJ$2,2)))=1,CONCATENATE("при измерении ",$O52," ",S$50," не допускается ! "),"")</f>
      </c>
      <c r="T52" s="621">
        <f>IF(IF(ISNA(INDEX(СГИ!$Q$3:$AJ$22,VLOOKUP($O52,СГИ!$O$3:$P$22,2),HLOOKUP(T$50,СГИ!$Q$1:$AJ$2,2))),"",INDEX(СГИ!$Q$3:$AJ$22,VLOOKUP($O52,СГИ!$O$3:$P$22,2),HLOOKUP(T$50,СГИ!$Q$1:$AJ$2,2)))=1,CONCATENATE("при измерении ",$O52," ",T$50," не допускается ! "),"")</f>
      </c>
      <c r="U52" s="621">
        <f>IF(IF(ISNA(INDEX(СГИ!$Q$3:$AJ$22,VLOOKUP($O52,СГИ!$O$3:$P$22,2),HLOOKUP(U$50,СГИ!$Q$1:$AJ$2,2))),"",INDEX(СГИ!$Q$3:$AJ$22,VLOOKUP($O52,СГИ!$O$3:$P$22,2),HLOOKUP(U$50,СГИ!$Q$1:$AJ$2,2)))=1,CONCATENATE("при измерении ",$O52," ",U$50," не допускается ! "),"")</f>
      </c>
      <c r="V52" s="621">
        <f>IF(IF(ISNA(INDEX(СГИ!$Q$3:$AJ$22,VLOOKUP($O52,СГИ!$O$3:$P$22,2),HLOOKUP(V$50,СГИ!$Q$1:$AJ$2,2))),"",INDEX(СГИ!$Q$3:$AJ$22,VLOOKUP($O52,СГИ!$O$3:$P$22,2),HLOOKUP(V$50,СГИ!$Q$1:$AJ$2,2)))=1,CONCATENATE("при измерении ",$O52," ",V$50," не допускается ! "),"")</f>
      </c>
      <c r="W52" s="621">
        <f>IF(IF(ISNA(INDEX(СГИ!$Q$3:$AJ$22,VLOOKUP($O52,СГИ!$O$3:$P$22,2),HLOOKUP(W$50,СГИ!$Q$1:$AJ$2,2))),"",INDEX(СГИ!$Q$3:$AJ$22,VLOOKUP($O52,СГИ!$O$3:$P$22,2),HLOOKUP(W$50,СГИ!$Q$1:$AJ$2,2)))=1,CONCATENATE("при измерении ",$O52," ",W$50," не допускается ! "),"")</f>
      </c>
      <c r="X52" s="621">
        <f>IF(IF(ISNA(INDEX(СГИ!$Q$3:$AJ$22,VLOOKUP($O52,СГИ!$O$3:$P$22,2),HLOOKUP(X$50,СГИ!$Q$1:$AJ$2,2))),"",INDEX(СГИ!$Q$3:$AJ$22,VLOOKUP($O52,СГИ!$O$3:$P$22,2),HLOOKUP(X$50,СГИ!$Q$1:$AJ$2,2)))=1,CONCATENATE("при измерении ",$O52," ",X$50," не допускается ! "),"")</f>
      </c>
      <c r="Y52" s="621">
        <f>IF(IF(ISNA(INDEX(СГИ!$Q$3:$AJ$22,VLOOKUP($O52,СГИ!$O$3:$P$22,2),HLOOKUP(Y$50,СГИ!$Q$1:$AJ$2,2))),"",INDEX(СГИ!$Q$3:$AJ$22,VLOOKUP($O52,СГИ!$O$3:$P$22,2),HLOOKUP(Y$50,СГИ!$Q$1:$AJ$2,2)))=1,CONCATENATE("при измерении ",$O52," ",Y$50," не допускается ! "),"")</f>
      </c>
      <c r="Z52" s="621">
        <f>IF(IF(ISNA(INDEX(СГИ!$Q$3:$AJ$22,VLOOKUP($O52,СГИ!$O$3:$P$22,2),HLOOKUP(Z$50,СГИ!$Q$1:$AJ$2,2))),"",INDEX(СГИ!$Q$3:$AJ$22,VLOOKUP($O52,СГИ!$O$3:$P$22,2),HLOOKUP(Z$50,СГИ!$Q$1:$AJ$2,2)))=1,CONCATENATE("при измерении ",$O52," ",Z$50," не допускается ! "),"")</f>
      </c>
      <c r="AA52" s="621">
        <f>IF(IF(ISNA(INDEX(СГИ!$Q$3:$AJ$22,VLOOKUP($O52,СГИ!$O$3:$P$22,2),HLOOKUP(AA$50,СГИ!$Q$1:$AJ$2,2))),"",INDEX(СГИ!$Q$3:$AJ$22,VLOOKUP($O52,СГИ!$O$3:$P$22,2),HLOOKUP(AA$50,СГИ!$Q$1:$AJ$2,2)))=1,CONCATENATE("при измерении ",$O52," ",AA$50," не допускается ! "),"")</f>
      </c>
      <c r="AB52" s="621">
        <f>IF(IF(ISNA(INDEX(СГИ!$Q$3:$AJ$22,VLOOKUP($O52,СГИ!$O$3:$P$22,2),HLOOKUP(AB$50,СГИ!$Q$1:$AJ$2,2))),"",INDEX(СГИ!$Q$3:$AJ$22,VLOOKUP($O52,СГИ!$O$3:$P$22,2),HLOOKUP(AB$50,СГИ!$Q$1:$AJ$2,2)))=1,CONCATENATE("при измерении ",$O52," ",AB$50," не допускается ! "),"")</f>
      </c>
      <c r="AC52" s="621">
        <f>IF(IF(ISNA(INDEX(СГИ!$Q$3:$AJ$22,VLOOKUP($O52,СГИ!$O$3:$P$22,2),HLOOKUP(AC$50,СГИ!$Q$1:$AJ$2,2))),"",INDEX(СГИ!$Q$3:$AJ$22,VLOOKUP($O52,СГИ!$O$3:$P$22,2),HLOOKUP(AC$50,СГИ!$Q$1:$AJ$2,2)))=1,CONCATENATE("при измерении ",$O52," ",AC$50," не допускается ! "),"")</f>
      </c>
      <c r="AD52" s="621">
        <f>IF(IF(ISNA(INDEX(СГИ!$Q$3:$AJ$22,VLOOKUP($O52,СГИ!$O$3:$P$22,2),HLOOKUP(AD$50,СГИ!$Q$1:$AJ$2,2))),"",INDEX(СГИ!$Q$3:$AJ$22,VLOOKUP($O52,СГИ!$O$3:$P$22,2),HLOOKUP(AD$50,СГИ!$Q$1:$AJ$2,2)))=1,CONCATENATE("при измерении ",$O52," ",AD$50," не допускается ! "),"")</f>
      </c>
      <c r="AE52" s="621">
        <f>IF(IF(ISNA(INDEX(СГИ!$Q$3:$AJ$22,VLOOKUP($O52,СГИ!$O$3:$P$22,2),HLOOKUP(AE$50,СГИ!$Q$1:$AJ$2,2))),"",INDEX(СГИ!$Q$3:$AJ$22,VLOOKUP($O52,СГИ!$O$3:$P$22,2),HLOOKUP(AE$50,СГИ!$Q$1:$AJ$2,2)))=1,CONCATENATE("при измерении ",$O52," ",AE$50," не допускается ! "),"")</f>
      </c>
      <c r="AF52" s="621">
        <f>IF(IF(ISNA(INDEX(СГИ!$Q$3:$AJ$22,VLOOKUP($O52,СГИ!$O$3:$P$22,2),HLOOKUP(AF$50,СГИ!$Q$1:$AJ$2,2))),"",INDEX(СГИ!$Q$3:$AJ$22,VLOOKUP($O52,СГИ!$O$3:$P$22,2),HLOOKUP(AF$50,СГИ!$Q$1:$AJ$2,2)))=1,CONCATENATE("при измерении ",$O52," ",AF$50," не допускается ! "),"")</f>
      </c>
      <c r="AG52" s="649">
        <f>IF(IF(ISNA(INDEX(СГИ!$Q$3:$AJ$22,VLOOKUP($O52,СГИ!$O$3:$P$22,2),HLOOKUP(AG$50,СГИ!$Q$1:$AJ$2,2))),"",INDEX(СГИ!$Q$3:$AJ$22,VLOOKUP($O52,СГИ!$O$3:$P$22,2),HLOOKUP(AG$50,СГИ!$Q$1:$AJ$2,2)))=1,CONCATENATE("при измерении ",$O52," ",AG$50," не допускается ! "),"")</f>
      </c>
      <c r="AH52" s="1">
        <f t="shared" si="1"/>
      </c>
      <c r="AJ52" s="845" t="s">
        <v>627</v>
      </c>
      <c r="AK52" s="1" t="s">
        <v>622</v>
      </c>
    </row>
    <row r="53" spans="1:37" ht="33" customHeight="1" thickBot="1">
      <c r="A53" s="609">
        <f>CONCATENATE('И11-Переносные с вын. БД'!I7,'И11-Переносные с вын. БД'!I8,'И11-Переносные с вын. БД'!I9,'И11-Переносные с вын. БД'!I10,'И11-Переносные с вын. БД'!I11,'И11-Переносные с вын. БД'!I12)</f>
      </c>
      <c r="B53" s="536" t="s">
        <v>597</v>
      </c>
      <c r="E53" s="570"/>
      <c r="G53" s="609">
        <f>IF(AND('И11-Переносные с вын. БД'!L6=1,SUM('И11-Переносные с вын. БД'!D9:D11)=1),IF(SUM('И11-Переносные с вын. БД'!D12:D13)&lt;1,"",I64),"")</f>
      </c>
      <c r="H53" s="885" t="s">
        <v>733</v>
      </c>
      <c r="I53" s="610" t="s">
        <v>569</v>
      </c>
      <c r="J53" s="801">
        <f>IF('И11-Переносные с вын. БД'!D9&gt;0,ПГ!D9,"")</f>
      </c>
      <c r="K53" s="804" t="s">
        <v>551</v>
      </c>
      <c r="L53" s="787">
        <f>IF('И11-Переносные с вын. БД'!J26=3,1500,0)</f>
        <v>0</v>
      </c>
      <c r="M53" s="570">
        <v>1500</v>
      </c>
      <c r="N53" s="595"/>
      <c r="O53" s="648">
        <f>MID('И11-Переносные с вын. БД'!I9,2,9)</f>
      </c>
      <c r="P53" s="621">
        <f>IF(IF(ISNA(INDEX(СГИ!$Q$3:$AJ$22,VLOOKUP($O53,СГИ!$O$3:$P$22,2),HLOOKUP(P$50,СГИ!$Q$1:$AJ$2,2))),"",INDEX(СГИ!$Q$3:$AJ$22,VLOOKUP($O53,СГИ!$O$3:$P$22,2),HLOOKUP(P$50,СГИ!$Q$1:$AJ$2,2)))=1,CONCATENATE("при измерении ",$O53," ",P$50," не допускается ! "),"")</f>
      </c>
      <c r="Q53" s="621">
        <f>IF(IF(ISNA(INDEX(СГИ!$Q$3:$AJ$22,VLOOKUP($O53,СГИ!$O$3:$P$22,2),HLOOKUP(Q$50,СГИ!$Q$1:$AJ$2,2))),"",INDEX(СГИ!$Q$3:$AJ$22,VLOOKUP($O53,СГИ!$O$3:$P$22,2),HLOOKUP(Q$50,СГИ!$Q$1:$AJ$2,2)))=1,CONCATENATE("при измерении ",$O53," ",Q$50," не допускается ! "),"")</f>
      </c>
      <c r="R53" s="621">
        <f>IF(IF(ISNA(INDEX(СГИ!$Q$3:$AJ$22,VLOOKUP($O53,СГИ!$O$3:$P$22,2),HLOOKUP(R$50,СГИ!$Q$1:$AJ$2,2))),"",INDEX(СГИ!$Q$3:$AJ$22,VLOOKUP($O53,СГИ!$O$3:$P$22,2),HLOOKUP(R$50,СГИ!$Q$1:$AJ$2,2)))=1,CONCATENATE("при измерении ",$O53," ",R$50," не допускается ! "),"")</f>
      </c>
      <c r="S53" s="621">
        <f>IF(IF(ISNA(INDEX(СГИ!$Q$3:$AJ$22,VLOOKUP($O53,СГИ!$O$3:$P$22,2),HLOOKUP(S$50,СГИ!$Q$1:$AJ$2,2))),"",INDEX(СГИ!$Q$3:$AJ$22,VLOOKUP($O53,СГИ!$O$3:$P$22,2),HLOOKUP(S$50,СГИ!$Q$1:$AJ$2,2)))=1,CONCATENATE("при измерении ",$O53," ",S$50," не допускается ! "),"")</f>
      </c>
      <c r="T53" s="621">
        <f>IF(IF(ISNA(INDEX(СГИ!$Q$3:$AJ$22,VLOOKUP($O53,СГИ!$O$3:$P$22,2),HLOOKUP(T$50,СГИ!$Q$1:$AJ$2,2))),"",INDEX(СГИ!$Q$3:$AJ$22,VLOOKUP($O53,СГИ!$O$3:$P$22,2),HLOOKUP(T$50,СГИ!$Q$1:$AJ$2,2)))=1,CONCATENATE("при измерении ",$O53," ",T$50," не допускается ! "),"")</f>
      </c>
      <c r="U53" s="621">
        <f>IF(IF(ISNA(INDEX(СГИ!$Q$3:$AJ$22,VLOOKUP($O53,СГИ!$O$3:$P$22,2),HLOOKUP(U$50,СГИ!$Q$1:$AJ$2,2))),"",INDEX(СГИ!$Q$3:$AJ$22,VLOOKUP($O53,СГИ!$O$3:$P$22,2),HLOOKUP(U$50,СГИ!$Q$1:$AJ$2,2)))=1,CONCATENATE("при измерении ",$O53," ",U$50," не допускается ! "),"")</f>
      </c>
      <c r="V53" s="621">
        <f>IF(IF(ISNA(INDEX(СГИ!$Q$3:$AJ$22,VLOOKUP($O53,СГИ!$O$3:$P$22,2),HLOOKUP(V$50,СГИ!$Q$1:$AJ$2,2))),"",INDEX(СГИ!$Q$3:$AJ$22,VLOOKUP($O53,СГИ!$O$3:$P$22,2),HLOOKUP(V$50,СГИ!$Q$1:$AJ$2,2)))=1,CONCATENATE("при измерении ",$O53," ",V$50," не допускается ! "),"")</f>
      </c>
      <c r="W53" s="621">
        <f>IF(IF(ISNA(INDEX(СГИ!$Q$3:$AJ$22,VLOOKUP($O53,СГИ!$O$3:$P$22,2),HLOOKUP(W$50,СГИ!$Q$1:$AJ$2,2))),"",INDEX(СГИ!$Q$3:$AJ$22,VLOOKUP($O53,СГИ!$O$3:$P$22,2),HLOOKUP(W$50,СГИ!$Q$1:$AJ$2,2)))=1,CONCATENATE("при измерении ",$O53," ",W$50," не допускается ! "),"")</f>
      </c>
      <c r="X53" s="621">
        <f>IF(IF(ISNA(INDEX(СГИ!$Q$3:$AJ$22,VLOOKUP($O53,СГИ!$O$3:$P$22,2),HLOOKUP(X$50,СГИ!$Q$1:$AJ$2,2))),"",INDEX(СГИ!$Q$3:$AJ$22,VLOOKUP($O53,СГИ!$O$3:$P$22,2),HLOOKUP(X$50,СГИ!$Q$1:$AJ$2,2)))=1,CONCATENATE("при измерении ",$O53," ",X$50," не допускается ! "),"")</f>
      </c>
      <c r="Y53" s="621">
        <f>IF(IF(ISNA(INDEX(СГИ!$Q$3:$AJ$22,VLOOKUP($O53,СГИ!$O$3:$P$22,2),HLOOKUP(Y$50,СГИ!$Q$1:$AJ$2,2))),"",INDEX(СГИ!$Q$3:$AJ$22,VLOOKUP($O53,СГИ!$O$3:$P$22,2),HLOOKUP(Y$50,СГИ!$Q$1:$AJ$2,2)))=1,CONCATENATE("при измерении ",$O53," ",Y$50," не допускается ! "),"")</f>
      </c>
      <c r="Z53" s="621">
        <f>IF(IF(ISNA(INDEX(СГИ!$Q$3:$AJ$22,VLOOKUP($O53,СГИ!$O$3:$P$22,2),HLOOKUP(Z$50,СГИ!$Q$1:$AJ$2,2))),"",INDEX(СГИ!$Q$3:$AJ$22,VLOOKUP($O53,СГИ!$O$3:$P$22,2),HLOOKUP(Z$50,СГИ!$Q$1:$AJ$2,2)))=1,CONCATENATE("при измерении ",$O53," ",Z$50," не допускается ! "),"")</f>
      </c>
      <c r="AA53" s="621">
        <f>IF(IF(ISNA(INDEX(СГИ!$Q$3:$AJ$22,VLOOKUP($O53,СГИ!$O$3:$P$22,2),HLOOKUP(AA$50,СГИ!$Q$1:$AJ$2,2))),"",INDEX(СГИ!$Q$3:$AJ$22,VLOOKUP($O53,СГИ!$O$3:$P$22,2),HLOOKUP(AA$50,СГИ!$Q$1:$AJ$2,2)))=1,CONCATENATE("при измерении ",$O53," ",AA$50," не допускается ! "),"")</f>
      </c>
      <c r="AB53" s="621">
        <f>IF(IF(ISNA(INDEX(СГИ!$Q$3:$AJ$22,VLOOKUP($O53,СГИ!$O$3:$P$22,2),HLOOKUP(AB$50,СГИ!$Q$1:$AJ$2,2))),"",INDEX(СГИ!$Q$3:$AJ$22,VLOOKUP($O53,СГИ!$O$3:$P$22,2),HLOOKUP(AB$50,СГИ!$Q$1:$AJ$2,2)))=1,CONCATENATE("при измерении ",$O53," ",AB$50," не допускается ! "),"")</f>
      </c>
      <c r="AC53" s="621">
        <f>IF(IF(ISNA(INDEX(СГИ!$Q$3:$AJ$22,VLOOKUP($O53,СГИ!$O$3:$P$22,2),HLOOKUP(AC$50,СГИ!$Q$1:$AJ$2,2))),"",INDEX(СГИ!$Q$3:$AJ$22,VLOOKUP($O53,СГИ!$O$3:$P$22,2),HLOOKUP(AC$50,СГИ!$Q$1:$AJ$2,2)))=1,CONCATENATE("при измерении ",$O53," ",AC$50," не допускается ! "),"")</f>
      </c>
      <c r="AD53" s="621">
        <f>IF(IF(ISNA(INDEX(СГИ!$Q$3:$AJ$22,VLOOKUP($O53,СГИ!$O$3:$P$22,2),HLOOKUP(AD$50,СГИ!$Q$1:$AJ$2,2))),"",INDEX(СГИ!$Q$3:$AJ$22,VLOOKUP($O53,СГИ!$O$3:$P$22,2),HLOOKUP(AD$50,СГИ!$Q$1:$AJ$2,2)))=1,CONCATENATE("при измерении ",$O53," ",AD$50," не допускается ! "),"")</f>
      </c>
      <c r="AE53" s="621">
        <f>IF(IF(ISNA(INDEX(СГИ!$Q$3:$AJ$22,VLOOKUP($O53,СГИ!$O$3:$P$22,2),HLOOKUP(AE$50,СГИ!$Q$1:$AJ$2,2))),"",INDEX(СГИ!$Q$3:$AJ$22,VLOOKUP($O53,СГИ!$O$3:$P$22,2),HLOOKUP(AE$50,СГИ!$Q$1:$AJ$2,2)))=1,CONCATENATE("при измерении ",$O53," ",AE$50," не допускается ! "),"")</f>
      </c>
      <c r="AF53" s="621">
        <f>IF(IF(ISNA(INDEX(СГИ!$Q$3:$AJ$22,VLOOKUP($O53,СГИ!$O$3:$P$22,2),HLOOKUP(AF$50,СГИ!$Q$1:$AJ$2,2))),"",INDEX(СГИ!$Q$3:$AJ$22,VLOOKUP($O53,СГИ!$O$3:$P$22,2),HLOOKUP(AF$50,СГИ!$Q$1:$AJ$2,2)))=1,CONCATENATE("при измерении ",$O53," ",AF$50," не допускается ! "),"")</f>
      </c>
      <c r="AG53" s="649">
        <f>IF(IF(ISNA(INDEX(СГИ!$Q$3:$AJ$22,VLOOKUP($O53,СГИ!$O$3:$P$22,2),HLOOKUP(AG$50,СГИ!$Q$1:$AJ$2,2))),"",INDEX(СГИ!$Q$3:$AJ$22,VLOOKUP($O53,СГИ!$O$3:$P$22,2),HLOOKUP(AG$50,СГИ!$Q$1:$AJ$2,2)))=1,CONCATENATE("при измерении ",$O53," ",AG$50," не допускается ! "),"")</f>
      </c>
      <c r="AH53" s="1">
        <f t="shared" si="1"/>
      </c>
      <c r="AJ53" s="845" t="s">
        <v>768</v>
      </c>
      <c r="AK53" s="1" t="s">
        <v>623</v>
      </c>
    </row>
    <row r="54" spans="1:37" ht="33" customHeight="1" thickBot="1">
      <c r="A54" s="609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ОКА-</v>
      </c>
      <c r="B54" s="536" t="s">
        <v>669</v>
      </c>
      <c r="G54" s="609">
        <f>IF('И11-Переносные с вын. БД'!L6=1,IF(SUM('И11-Переносные с вын. БД'!D14:D23)&lt;3,"",I55),"")</f>
      </c>
      <c r="H54" s="885" t="s">
        <v>734</v>
      </c>
      <c r="I54" s="610" t="s">
        <v>612</v>
      </c>
      <c r="J54" s="801">
        <f>IF('И11-Переносные с вын. БД'!D10&gt;0,ПГ!D10,"")</f>
      </c>
      <c r="K54" s="804" t="s">
        <v>561</v>
      </c>
      <c r="L54" s="787">
        <f>IF('И11-Переносные с вын. БД'!J26&gt;3,-2000,0)</f>
        <v>0</v>
      </c>
      <c r="M54" s="570">
        <v>-2000</v>
      </c>
      <c r="N54" s="595"/>
      <c r="O54" s="648">
        <f>MID('И11-Переносные с вын. БД'!I10,2,9)</f>
      </c>
      <c r="P54" s="621">
        <f>IF(IF(ISNA(INDEX(СГИ!$Q$3:$AJ$22,VLOOKUP($O54,СГИ!$O$3:$P$22,2),HLOOKUP(P$50,СГИ!$Q$1:$AJ$2,2))),"",INDEX(СГИ!$Q$3:$AJ$22,VLOOKUP($O54,СГИ!$O$3:$P$22,2),HLOOKUP(P$50,СГИ!$Q$1:$AJ$2,2)))=1,CONCATENATE("при измерении ",$O54," ",P$50," не допускается ! "),"")</f>
      </c>
      <c r="Q54" s="621">
        <f>IF(IF(ISNA(INDEX(СГИ!$Q$3:$AJ$22,VLOOKUP($O54,СГИ!$O$3:$P$22,2),HLOOKUP(Q$50,СГИ!$Q$1:$AJ$2,2))),"",INDEX(СГИ!$Q$3:$AJ$22,VLOOKUP($O54,СГИ!$O$3:$P$22,2),HLOOKUP(Q$50,СГИ!$Q$1:$AJ$2,2)))=1,CONCATENATE("при измерении ",$O54," ",Q$50," не допускается ! "),"")</f>
      </c>
      <c r="R54" s="621">
        <f>IF(IF(ISNA(INDEX(СГИ!$Q$3:$AJ$22,VLOOKUP($O54,СГИ!$O$3:$P$22,2),HLOOKUP(R$50,СГИ!$Q$1:$AJ$2,2))),"",INDEX(СГИ!$Q$3:$AJ$22,VLOOKUP($O54,СГИ!$O$3:$P$22,2),HLOOKUP(R$50,СГИ!$Q$1:$AJ$2,2)))=1,CONCATENATE("при измерении ",$O54," ",R$50," не допускается ! "),"")</f>
      </c>
      <c r="S54" s="621">
        <f>IF(IF(ISNA(INDEX(СГИ!$Q$3:$AJ$22,VLOOKUP($O54,СГИ!$O$3:$P$22,2),HLOOKUP(S$50,СГИ!$Q$1:$AJ$2,2))),"",INDEX(СГИ!$Q$3:$AJ$22,VLOOKUP($O54,СГИ!$O$3:$P$22,2),HLOOKUP(S$50,СГИ!$Q$1:$AJ$2,2)))=1,CONCATENATE("при измерении ",$O54," ",S$50," не допускается ! "),"")</f>
      </c>
      <c r="T54" s="621">
        <f>IF(IF(ISNA(INDEX(СГИ!$Q$3:$AJ$22,VLOOKUP($O54,СГИ!$O$3:$P$22,2),HLOOKUP(T$50,СГИ!$Q$1:$AJ$2,2))),"",INDEX(СГИ!$Q$3:$AJ$22,VLOOKUP($O54,СГИ!$O$3:$P$22,2),HLOOKUP(T$50,СГИ!$Q$1:$AJ$2,2)))=1,CONCATENATE("при измерении ",$O54," ",T$50," не допускается ! "),"")</f>
      </c>
      <c r="U54" s="621">
        <f>IF(IF(ISNA(INDEX(СГИ!$Q$3:$AJ$22,VLOOKUP($O54,СГИ!$O$3:$P$22,2),HLOOKUP(U$50,СГИ!$Q$1:$AJ$2,2))),"",INDEX(СГИ!$Q$3:$AJ$22,VLOOKUP($O54,СГИ!$O$3:$P$22,2),HLOOKUP(U$50,СГИ!$Q$1:$AJ$2,2)))=1,CONCATENATE("при измерении ",$O54," ",U$50," не допускается ! "),"")</f>
      </c>
      <c r="V54" s="621">
        <f>IF(IF(ISNA(INDEX(СГИ!$Q$3:$AJ$22,VLOOKUP($O54,СГИ!$O$3:$P$22,2),HLOOKUP(V$50,СГИ!$Q$1:$AJ$2,2))),"",INDEX(СГИ!$Q$3:$AJ$22,VLOOKUP($O54,СГИ!$O$3:$P$22,2),HLOOKUP(V$50,СГИ!$Q$1:$AJ$2,2)))=1,CONCATENATE("при измерении ",$O54," ",V$50," не допускается ! "),"")</f>
      </c>
      <c r="W54" s="621">
        <f>IF(IF(ISNA(INDEX(СГИ!$Q$3:$AJ$22,VLOOKUP($O54,СГИ!$O$3:$P$22,2),HLOOKUP(W$50,СГИ!$Q$1:$AJ$2,2))),"",INDEX(СГИ!$Q$3:$AJ$22,VLOOKUP($O54,СГИ!$O$3:$P$22,2),HLOOKUP(W$50,СГИ!$Q$1:$AJ$2,2)))=1,CONCATENATE("при измерении ",$O54," ",W$50," не допускается ! "),"")</f>
      </c>
      <c r="X54" s="621">
        <f>IF(IF(ISNA(INDEX(СГИ!$Q$3:$AJ$22,VLOOKUP($O54,СГИ!$O$3:$P$22,2),HLOOKUP(X$50,СГИ!$Q$1:$AJ$2,2))),"",INDEX(СГИ!$Q$3:$AJ$22,VLOOKUP($O54,СГИ!$O$3:$P$22,2),HLOOKUP(X$50,СГИ!$Q$1:$AJ$2,2)))=1,CONCATENATE("при измерении ",$O54," ",X$50," не допускается ! "),"")</f>
      </c>
      <c r="Y54" s="621">
        <f>IF(IF(ISNA(INDEX(СГИ!$Q$3:$AJ$22,VLOOKUP($O54,СГИ!$O$3:$P$22,2),HLOOKUP(Y$50,СГИ!$Q$1:$AJ$2,2))),"",INDEX(СГИ!$Q$3:$AJ$22,VLOOKUP($O54,СГИ!$O$3:$P$22,2),HLOOKUP(Y$50,СГИ!$Q$1:$AJ$2,2)))=1,CONCATENATE("при измерении ",$O54," ",Y$50," не допускается ! "),"")</f>
      </c>
      <c r="Z54" s="621">
        <f>IF(IF(ISNA(INDEX(СГИ!$Q$3:$AJ$22,VLOOKUP($O54,СГИ!$O$3:$P$22,2),HLOOKUP(Z$50,СГИ!$Q$1:$AJ$2,2))),"",INDEX(СГИ!$Q$3:$AJ$22,VLOOKUP($O54,СГИ!$O$3:$P$22,2),HLOOKUP(Z$50,СГИ!$Q$1:$AJ$2,2)))=1,CONCATENATE("при измерении ",$O54," ",Z$50," не допускается ! "),"")</f>
      </c>
      <c r="AA54" s="621">
        <f>IF(IF(ISNA(INDEX(СГИ!$Q$3:$AJ$22,VLOOKUP($O54,СГИ!$O$3:$P$22,2),HLOOKUP(AA$50,СГИ!$Q$1:$AJ$2,2))),"",INDEX(СГИ!$Q$3:$AJ$22,VLOOKUP($O54,СГИ!$O$3:$P$22,2),HLOOKUP(AA$50,СГИ!$Q$1:$AJ$2,2)))=1,CONCATENATE("при измерении ",$O54," ",AA$50," не допускается ! "),"")</f>
      </c>
      <c r="AB54" s="621">
        <f>IF(IF(ISNA(INDEX(СГИ!$Q$3:$AJ$22,VLOOKUP($O54,СГИ!$O$3:$P$22,2),HLOOKUP(AB$50,СГИ!$Q$1:$AJ$2,2))),"",INDEX(СГИ!$Q$3:$AJ$22,VLOOKUP($O54,СГИ!$O$3:$P$22,2),HLOOKUP(AB$50,СГИ!$Q$1:$AJ$2,2)))=1,CONCATENATE("при измерении ",$O54," ",AB$50," не допускается ! "),"")</f>
      </c>
      <c r="AC54" s="621">
        <f>IF(IF(ISNA(INDEX(СГИ!$Q$3:$AJ$22,VLOOKUP($O54,СГИ!$O$3:$P$22,2),HLOOKUP(AC$50,СГИ!$Q$1:$AJ$2,2))),"",INDEX(СГИ!$Q$3:$AJ$22,VLOOKUP($O54,СГИ!$O$3:$P$22,2),HLOOKUP(AC$50,СГИ!$Q$1:$AJ$2,2)))=1,CONCATENATE("при измерении ",$O54," ",AC$50," не допускается ! "),"")</f>
      </c>
      <c r="AD54" s="621">
        <f>IF(IF(ISNA(INDEX(СГИ!$Q$3:$AJ$22,VLOOKUP($O54,СГИ!$O$3:$P$22,2),HLOOKUP(AD$50,СГИ!$Q$1:$AJ$2,2))),"",INDEX(СГИ!$Q$3:$AJ$22,VLOOKUP($O54,СГИ!$O$3:$P$22,2),HLOOKUP(AD$50,СГИ!$Q$1:$AJ$2,2)))=1,CONCATENATE("при измерении ",$O54," ",AD$50," не допускается ! "),"")</f>
      </c>
      <c r="AE54" s="621">
        <f>IF(IF(ISNA(INDEX(СГИ!$Q$3:$AJ$22,VLOOKUP($O54,СГИ!$O$3:$P$22,2),HLOOKUP(AE$50,СГИ!$Q$1:$AJ$2,2))),"",INDEX(СГИ!$Q$3:$AJ$22,VLOOKUP($O54,СГИ!$O$3:$P$22,2),HLOOKUP(AE$50,СГИ!$Q$1:$AJ$2,2)))=1,CONCATENATE("при измерении ",$O54," ",AE$50," не допускается ! "),"")</f>
      </c>
      <c r="AF54" s="621">
        <f>IF(IF(ISNA(INDEX(СГИ!$Q$3:$AJ$22,VLOOKUP($O54,СГИ!$O$3:$P$22,2),HLOOKUP(AF$50,СГИ!$Q$1:$AJ$2,2))),"",INDEX(СГИ!$Q$3:$AJ$22,VLOOKUP($O54,СГИ!$O$3:$P$22,2),HLOOKUP(AF$50,СГИ!$Q$1:$AJ$2,2)))=1,CONCATENATE("при измерении ",$O54," ",AF$50," не допускается ! "),"")</f>
      </c>
      <c r="AG54" s="649">
        <f>IF(IF(ISNA(INDEX(СГИ!$Q$3:$AJ$22,VLOOKUP($O54,СГИ!$O$3:$P$22,2),HLOOKUP(AG$50,СГИ!$Q$1:$AJ$2,2))),"",INDEX(СГИ!$Q$3:$AJ$22,VLOOKUP($O54,СГИ!$O$3:$P$22,2),HLOOKUP(AG$50,СГИ!$Q$1:$AJ$2,2)))=1,CONCATENATE("при измерении ",$O54," ",AG$50," не допускается ! "),"")</f>
      </c>
      <c r="AH54" s="1">
        <f t="shared" si="1"/>
      </c>
      <c r="AJ54" s="845" t="s">
        <v>773</v>
      </c>
      <c r="AK54" s="1" t="s">
        <v>763</v>
      </c>
    </row>
    <row r="55" spans="1:37" ht="33" customHeight="1" thickBot="1">
      <c r="A55" s="536"/>
      <c r="B55" s="536"/>
      <c r="G55" s="609">
        <f>IF(AND('И11-Переносные с вын. БД'!L6=1,'И11-Переносные с вын. БД'!J26&gt;4),$I$55,"")</f>
      </c>
      <c r="H55" s="885" t="s">
        <v>744</v>
      </c>
      <c r="I55" s="610" t="s">
        <v>568</v>
      </c>
      <c r="J55" s="801">
        <f>IF('И11-Переносные с вын. БД'!D11&gt;0,ПГ!D11,"")</f>
      </c>
      <c r="K55" s="804" t="s">
        <v>552</v>
      </c>
      <c r="L55" s="787">
        <f>IF(NOT('И11-Переносные с вын. БД'!H8="взрывозащита предусмотрена"),0,VLOOKUP('И11-Переносные с вын. БД'!J26,ПГ!$B$26:$C$29,2))</f>
        <v>0</v>
      </c>
      <c r="M55" s="591" t="str">
        <f>CONCATENATE(ПГ!$C$26," или ",ПГ!$C$27," или ",ПГ!$C$28," или ",ПГ!$C$29)</f>
        <v>3210 или 4280 или 5360 или 6430</v>
      </c>
      <c r="N55" s="595"/>
      <c r="O55" s="648">
        <f>MID('И11-Переносные с вын. БД'!I11,2,9)</f>
      </c>
      <c r="P55" s="621">
        <f>IF(IF(ISNA(INDEX(СГИ!$Q$3:$AJ$22,VLOOKUP($O55,СГИ!$O$3:$P$22,2),HLOOKUP(P$50,СГИ!$Q$1:$AJ$2,2))),"",INDEX(СГИ!$Q$3:$AJ$22,VLOOKUP($O55,СГИ!$O$3:$P$22,2),HLOOKUP(P$50,СГИ!$Q$1:$AJ$2,2)))=1,CONCATENATE("при измерении ",$O55," ",P$50," не допускается ! "),"")</f>
      </c>
      <c r="Q55" s="621">
        <f>IF(IF(ISNA(INDEX(СГИ!$Q$3:$AJ$22,VLOOKUP($O55,СГИ!$O$3:$P$22,2),HLOOKUP(Q$50,СГИ!$Q$1:$AJ$2,2))),"",INDEX(СГИ!$Q$3:$AJ$22,VLOOKUP($O55,СГИ!$O$3:$P$22,2),HLOOKUP(Q$50,СГИ!$Q$1:$AJ$2,2)))=1,CONCATENATE("при измерении ",$O55," ",Q$50," не допускается ! "),"")</f>
      </c>
      <c r="R55" s="621">
        <f>IF(IF(ISNA(INDEX(СГИ!$Q$3:$AJ$22,VLOOKUP($O55,СГИ!$O$3:$P$22,2),HLOOKUP(R$50,СГИ!$Q$1:$AJ$2,2))),"",INDEX(СГИ!$Q$3:$AJ$22,VLOOKUP($O55,СГИ!$O$3:$P$22,2),HLOOKUP(R$50,СГИ!$Q$1:$AJ$2,2)))=1,CONCATENATE("при измерении ",$O55," ",R$50," не допускается ! "),"")</f>
      </c>
      <c r="S55" s="621">
        <f>IF(IF(ISNA(INDEX(СГИ!$Q$3:$AJ$22,VLOOKUP($O55,СГИ!$O$3:$P$22,2),HLOOKUP(S$50,СГИ!$Q$1:$AJ$2,2))),"",INDEX(СГИ!$Q$3:$AJ$22,VLOOKUP($O55,СГИ!$O$3:$P$22,2),HLOOKUP(S$50,СГИ!$Q$1:$AJ$2,2)))=1,CONCATENATE("при измерении ",$O55," ",S$50," не допускается ! "),"")</f>
      </c>
      <c r="T55" s="621">
        <f>IF(IF(ISNA(INDEX(СГИ!$Q$3:$AJ$22,VLOOKUP($O55,СГИ!$O$3:$P$22,2),HLOOKUP(T$50,СГИ!$Q$1:$AJ$2,2))),"",INDEX(СГИ!$Q$3:$AJ$22,VLOOKUP($O55,СГИ!$O$3:$P$22,2),HLOOKUP(T$50,СГИ!$Q$1:$AJ$2,2)))=1,CONCATENATE("при измерении ",$O55," ",T$50," не допускается ! "),"")</f>
      </c>
      <c r="U55" s="621">
        <f>IF(IF(ISNA(INDEX(СГИ!$Q$3:$AJ$22,VLOOKUP($O55,СГИ!$O$3:$P$22,2),HLOOKUP(U$50,СГИ!$Q$1:$AJ$2,2))),"",INDEX(СГИ!$Q$3:$AJ$22,VLOOKUP($O55,СГИ!$O$3:$P$22,2),HLOOKUP(U$50,СГИ!$Q$1:$AJ$2,2)))=1,CONCATENATE("при измерении ",$O55," ",U$50," не допускается ! "),"")</f>
      </c>
      <c r="V55" s="621">
        <f>IF(IF(ISNA(INDEX(СГИ!$Q$3:$AJ$22,VLOOKUP($O55,СГИ!$O$3:$P$22,2),HLOOKUP(V$50,СГИ!$Q$1:$AJ$2,2))),"",INDEX(СГИ!$Q$3:$AJ$22,VLOOKUP($O55,СГИ!$O$3:$P$22,2),HLOOKUP(V$50,СГИ!$Q$1:$AJ$2,2)))=1,CONCATENATE("при измерении ",$O55," ",V$50," не допускается ! "),"")</f>
      </c>
      <c r="W55" s="621">
        <f>IF(IF(ISNA(INDEX(СГИ!$Q$3:$AJ$22,VLOOKUP($O55,СГИ!$O$3:$P$22,2),HLOOKUP(W$50,СГИ!$Q$1:$AJ$2,2))),"",INDEX(СГИ!$Q$3:$AJ$22,VLOOKUP($O55,СГИ!$O$3:$P$22,2),HLOOKUP(W$50,СГИ!$Q$1:$AJ$2,2)))=1,CONCATENATE("при измерении ",$O55," ",W$50," не допускается ! "),"")</f>
      </c>
      <c r="X55" s="621">
        <f>IF(IF(ISNA(INDEX(СГИ!$Q$3:$AJ$22,VLOOKUP($O55,СГИ!$O$3:$P$22,2),HLOOKUP(X$50,СГИ!$Q$1:$AJ$2,2))),"",INDEX(СГИ!$Q$3:$AJ$22,VLOOKUP($O55,СГИ!$O$3:$P$22,2),HLOOKUP(X$50,СГИ!$Q$1:$AJ$2,2)))=1,CONCATENATE("при измерении ",$O55," ",X$50," не допускается ! "),"")</f>
      </c>
      <c r="Y55" s="621">
        <f>IF(IF(ISNA(INDEX(СГИ!$Q$3:$AJ$22,VLOOKUP($O55,СГИ!$O$3:$P$22,2),HLOOKUP(Y$50,СГИ!$Q$1:$AJ$2,2))),"",INDEX(СГИ!$Q$3:$AJ$22,VLOOKUP($O55,СГИ!$O$3:$P$22,2),HLOOKUP(Y$50,СГИ!$Q$1:$AJ$2,2)))=1,CONCATENATE("при измерении ",$O55," ",Y$50," не допускается ! "),"")</f>
      </c>
      <c r="Z55" s="621">
        <f>IF(IF(ISNA(INDEX(СГИ!$Q$3:$AJ$22,VLOOKUP($O55,СГИ!$O$3:$P$22,2),HLOOKUP(Z$50,СГИ!$Q$1:$AJ$2,2))),"",INDEX(СГИ!$Q$3:$AJ$22,VLOOKUP($O55,СГИ!$O$3:$P$22,2),HLOOKUP(Z$50,СГИ!$Q$1:$AJ$2,2)))=1,CONCATENATE("при измерении ",$O55," ",Z$50," не допускается ! "),"")</f>
      </c>
      <c r="AA55" s="621">
        <f>IF(IF(ISNA(INDEX(СГИ!$Q$3:$AJ$22,VLOOKUP($O55,СГИ!$O$3:$P$22,2),HLOOKUP(AA$50,СГИ!$Q$1:$AJ$2,2))),"",INDEX(СГИ!$Q$3:$AJ$22,VLOOKUP($O55,СГИ!$O$3:$P$22,2),HLOOKUP(AA$50,СГИ!$Q$1:$AJ$2,2)))=1,CONCATENATE("при измерении ",$O55," ",AA$50," не допускается ! "),"")</f>
      </c>
      <c r="AB55" s="621">
        <f>IF(IF(ISNA(INDEX(СГИ!$Q$3:$AJ$22,VLOOKUP($O55,СГИ!$O$3:$P$22,2),HLOOKUP(AB$50,СГИ!$Q$1:$AJ$2,2))),"",INDEX(СГИ!$Q$3:$AJ$22,VLOOKUP($O55,СГИ!$O$3:$P$22,2),HLOOKUP(AB$50,СГИ!$Q$1:$AJ$2,2)))=1,CONCATENATE("при измерении ",$O55," ",AB$50," не допускается ! "),"")</f>
      </c>
      <c r="AC55" s="621">
        <f>IF(IF(ISNA(INDEX(СГИ!$Q$3:$AJ$22,VLOOKUP($O55,СГИ!$O$3:$P$22,2),HLOOKUP(AC$50,СГИ!$Q$1:$AJ$2,2))),"",INDEX(СГИ!$Q$3:$AJ$22,VLOOKUP($O55,СГИ!$O$3:$P$22,2),HLOOKUP(AC$50,СГИ!$Q$1:$AJ$2,2)))=1,CONCATENATE("при измерении ",$O55," ",AC$50," не допускается ! "),"")</f>
      </c>
      <c r="AD55" s="621">
        <f>IF(IF(ISNA(INDEX(СГИ!$Q$3:$AJ$22,VLOOKUP($O55,СГИ!$O$3:$P$22,2),HLOOKUP(AD$50,СГИ!$Q$1:$AJ$2,2))),"",INDEX(СГИ!$Q$3:$AJ$22,VLOOKUP($O55,СГИ!$O$3:$P$22,2),HLOOKUP(AD$50,СГИ!$Q$1:$AJ$2,2)))=1,CONCATENATE("при измерении ",$O55," ",AD$50," не допускается ! "),"")</f>
      </c>
      <c r="AE55" s="621">
        <f>IF(IF(ISNA(INDEX(СГИ!$Q$3:$AJ$22,VLOOKUP($O55,СГИ!$O$3:$P$22,2),HLOOKUP(AE$50,СГИ!$Q$1:$AJ$2,2))),"",INDEX(СГИ!$Q$3:$AJ$22,VLOOKUP($O55,СГИ!$O$3:$P$22,2),HLOOKUP(AE$50,СГИ!$Q$1:$AJ$2,2)))=1,CONCATENATE("при измерении ",$O55," ",AE$50," не допускается ! "),"")</f>
      </c>
      <c r="AF55" s="621">
        <f>IF(IF(ISNA(INDEX(СГИ!$Q$3:$AJ$22,VLOOKUP($O55,СГИ!$O$3:$P$22,2),HLOOKUP(AF$50,СГИ!$Q$1:$AJ$2,2))),"",INDEX(СГИ!$Q$3:$AJ$22,VLOOKUP($O55,СГИ!$O$3:$P$22,2),HLOOKUP(AF$50,СГИ!$Q$1:$AJ$2,2)))=1,CONCATENATE("при измерении ",$O55," ",AF$50," не допускается ! "),"")</f>
      </c>
      <c r="AG55" s="649">
        <f>IF(IF(ISNA(INDEX(СГИ!$Q$3:$AJ$22,VLOOKUP($O55,СГИ!$O$3:$P$22,2),HLOOKUP(AG$50,СГИ!$Q$1:$AJ$2,2))),"",INDEX(СГИ!$Q$3:$AJ$22,VLOOKUP($O55,СГИ!$O$3:$P$22,2),HLOOKUP(AG$50,СГИ!$Q$1:$AJ$2,2)))=1,CONCATENATE("при измерении ",$O55," ",AG$50," не допускается ! "),"")</f>
      </c>
      <c r="AH55" s="1">
        <f t="shared" si="1"/>
      </c>
      <c r="AJ55" s="845" t="s">
        <v>629</v>
      </c>
      <c r="AK55" s="1"/>
    </row>
    <row r="56" spans="2:37" ht="33" customHeight="1">
      <c r="B56"/>
      <c r="I56" s="277" t="s">
        <v>565</v>
      </c>
      <c r="J56" s="801">
        <f>IF('И11-Переносные с вын. БД'!D12&gt;0,ПГ!D12,"")</f>
      </c>
      <c r="K56" s="804" t="s">
        <v>548</v>
      </c>
      <c r="L56" s="787">
        <f>500*('И11-Переносные с вын. БД'!J8*'И11-Переносные с вын. БД'!A9*'И11-Переносные с вын. БД'!J9+'И11-Переносные с вын. БД'!J8*'И11-Переносные с вын. БД'!A10*'И11-Переносные с вын. БД'!J10+'И11-Переносные с вын. БД'!J8*'И11-Переносные с вын. БД'!A11*'И11-Переносные с вын. БД'!J11)</f>
        <v>0</v>
      </c>
      <c r="M56" s="595">
        <v>500</v>
      </c>
      <c r="N56" s="595"/>
      <c r="O56" s="648">
        <f>MID('И11-Переносные с вын. БД'!I12,2,9)</f>
      </c>
      <c r="P56" s="621">
        <f>IF(IF(ISNA(INDEX(СГИ!$Q$3:$AJ$22,VLOOKUP($O56,СГИ!$O$3:$P$22,2),HLOOKUP(P$50,СГИ!$Q$1:$AJ$2,2))),"",INDEX(СГИ!$Q$3:$AJ$22,VLOOKUP($O56,СГИ!$O$3:$P$22,2),HLOOKUP(P$50,СГИ!$Q$1:$AJ$2,2)))=1,CONCATENATE("при измерении ",$O56," ",P$50," не допускается ! "),"")</f>
      </c>
      <c r="Q56" s="621">
        <f>IF(IF(ISNA(INDEX(СГИ!$Q$3:$AJ$22,VLOOKUP($O56,СГИ!$O$3:$P$22,2),HLOOKUP(Q$50,СГИ!$Q$1:$AJ$2,2))),"",INDEX(СГИ!$Q$3:$AJ$22,VLOOKUP($O56,СГИ!$O$3:$P$22,2),HLOOKUP(Q$50,СГИ!$Q$1:$AJ$2,2)))=1,CONCATENATE("при измерении ",$O56," ",Q$50," не допускается ! "),"")</f>
      </c>
      <c r="R56" s="621">
        <f>IF(IF(ISNA(INDEX(СГИ!$Q$3:$AJ$22,VLOOKUP($O56,СГИ!$O$3:$P$22,2),HLOOKUP(R$50,СГИ!$Q$1:$AJ$2,2))),"",INDEX(СГИ!$Q$3:$AJ$22,VLOOKUP($O56,СГИ!$O$3:$P$22,2),HLOOKUP(R$50,СГИ!$Q$1:$AJ$2,2)))=1,CONCATENATE("при измерении ",$O56," ",R$50," не допускается ! "),"")</f>
      </c>
      <c r="S56" s="621">
        <f>IF(IF(ISNA(INDEX(СГИ!$Q$3:$AJ$22,VLOOKUP($O56,СГИ!$O$3:$P$22,2),HLOOKUP(S$50,СГИ!$Q$1:$AJ$2,2))),"",INDEX(СГИ!$Q$3:$AJ$22,VLOOKUP($O56,СГИ!$O$3:$P$22,2),HLOOKUP(S$50,СГИ!$Q$1:$AJ$2,2)))=1,CONCATENATE("при измерении ",$O56," ",S$50," не допускается ! "),"")</f>
      </c>
      <c r="T56" s="621">
        <f>IF(IF(ISNA(INDEX(СГИ!$Q$3:$AJ$22,VLOOKUP($O56,СГИ!$O$3:$P$22,2),HLOOKUP(T$50,СГИ!$Q$1:$AJ$2,2))),"",INDEX(СГИ!$Q$3:$AJ$22,VLOOKUP($O56,СГИ!$O$3:$P$22,2),HLOOKUP(T$50,СГИ!$Q$1:$AJ$2,2)))=1,CONCATENATE("при измерении ",$O56," ",T$50," не допускается ! "),"")</f>
      </c>
      <c r="U56" s="621">
        <f>IF(IF(ISNA(INDEX(СГИ!$Q$3:$AJ$22,VLOOKUP($O56,СГИ!$O$3:$P$22,2),HLOOKUP(U$50,СГИ!$Q$1:$AJ$2,2))),"",INDEX(СГИ!$Q$3:$AJ$22,VLOOKUP($O56,СГИ!$O$3:$P$22,2),HLOOKUP(U$50,СГИ!$Q$1:$AJ$2,2)))=1,CONCATENATE("при измерении ",$O56," ",U$50," не допускается ! "),"")</f>
      </c>
      <c r="V56" s="621">
        <f>IF(IF(ISNA(INDEX(СГИ!$Q$3:$AJ$22,VLOOKUP($O56,СГИ!$O$3:$P$22,2),HLOOKUP(V$50,СГИ!$Q$1:$AJ$2,2))),"",INDEX(СГИ!$Q$3:$AJ$22,VLOOKUP($O56,СГИ!$O$3:$P$22,2),HLOOKUP(V$50,СГИ!$Q$1:$AJ$2,2)))=1,CONCATENATE("при измерении ",$O56," ",V$50," не допускается ! "),"")</f>
      </c>
      <c r="W56" s="621">
        <f>IF(IF(ISNA(INDEX(СГИ!$Q$3:$AJ$22,VLOOKUP($O56,СГИ!$O$3:$P$22,2),HLOOKUP(W$50,СГИ!$Q$1:$AJ$2,2))),"",INDEX(СГИ!$Q$3:$AJ$22,VLOOKUP($O56,СГИ!$O$3:$P$22,2),HLOOKUP(W$50,СГИ!$Q$1:$AJ$2,2)))=1,CONCATENATE("при измерении ",$O56," ",W$50," не допускается ! "),"")</f>
      </c>
      <c r="X56" s="621">
        <f>IF(IF(ISNA(INDEX(СГИ!$Q$3:$AJ$22,VLOOKUP($O56,СГИ!$O$3:$P$22,2),HLOOKUP(X$50,СГИ!$Q$1:$AJ$2,2))),"",INDEX(СГИ!$Q$3:$AJ$22,VLOOKUP($O56,СГИ!$O$3:$P$22,2),HLOOKUP(X$50,СГИ!$Q$1:$AJ$2,2)))=1,CONCATENATE("при измерении ",$O56," ",X$50," не допускается ! "),"")</f>
      </c>
      <c r="Y56" s="621">
        <f>IF(IF(ISNA(INDEX(СГИ!$Q$3:$AJ$22,VLOOKUP($O56,СГИ!$O$3:$P$22,2),HLOOKUP(Y$50,СГИ!$Q$1:$AJ$2,2))),"",INDEX(СГИ!$Q$3:$AJ$22,VLOOKUP($O56,СГИ!$O$3:$P$22,2),HLOOKUP(Y$50,СГИ!$Q$1:$AJ$2,2)))=1,CONCATENATE("при измерении ",$O56," ",Y$50," не допускается ! "),"")</f>
      </c>
      <c r="Z56" s="621">
        <f>IF(IF(ISNA(INDEX(СГИ!$Q$3:$AJ$22,VLOOKUP($O56,СГИ!$O$3:$P$22,2),HLOOKUP(Z$50,СГИ!$Q$1:$AJ$2,2))),"",INDEX(СГИ!$Q$3:$AJ$22,VLOOKUP($O56,СГИ!$O$3:$P$22,2),HLOOKUP(Z$50,СГИ!$Q$1:$AJ$2,2)))=1,CONCATENATE("при измерении ",$O56," ",Z$50," не допускается ! "),"")</f>
      </c>
      <c r="AA56" s="621">
        <f>IF(IF(ISNA(INDEX(СГИ!$Q$3:$AJ$22,VLOOKUP($O56,СГИ!$O$3:$P$22,2),HLOOKUP(AA$50,СГИ!$Q$1:$AJ$2,2))),"",INDEX(СГИ!$Q$3:$AJ$22,VLOOKUP($O56,СГИ!$O$3:$P$22,2),HLOOKUP(AA$50,СГИ!$Q$1:$AJ$2,2)))=1,CONCATENATE("при измерении ",$O56," ",AA$50," не допускается ! "),"")</f>
      </c>
      <c r="AB56" s="621">
        <f>IF(IF(ISNA(INDEX(СГИ!$Q$3:$AJ$22,VLOOKUP($O56,СГИ!$O$3:$P$22,2),HLOOKUP(AB$50,СГИ!$Q$1:$AJ$2,2))),"",INDEX(СГИ!$Q$3:$AJ$22,VLOOKUP($O56,СГИ!$O$3:$P$22,2),HLOOKUP(AB$50,СГИ!$Q$1:$AJ$2,2)))=1,CONCATENATE("при измерении ",$O56," ",AB$50," не допускается ! "),"")</f>
      </c>
      <c r="AC56" s="621">
        <f>IF(IF(ISNA(INDEX(СГИ!$Q$3:$AJ$22,VLOOKUP($O56,СГИ!$O$3:$P$22,2),HLOOKUP(AC$50,СГИ!$Q$1:$AJ$2,2))),"",INDEX(СГИ!$Q$3:$AJ$22,VLOOKUP($O56,СГИ!$O$3:$P$22,2),HLOOKUP(AC$50,СГИ!$Q$1:$AJ$2,2)))=1,CONCATENATE("при измерении ",$O56," ",AC$50," не допускается ! "),"")</f>
      </c>
      <c r="AD56" s="621">
        <f>IF(IF(ISNA(INDEX(СГИ!$Q$3:$AJ$22,VLOOKUP($O56,СГИ!$O$3:$P$22,2),HLOOKUP(AD$50,СГИ!$Q$1:$AJ$2,2))),"",INDEX(СГИ!$Q$3:$AJ$22,VLOOKUP($O56,СГИ!$O$3:$P$22,2),HLOOKUP(AD$50,СГИ!$Q$1:$AJ$2,2)))=1,CONCATENATE("при измерении ",$O56," ",AD$50," не допускается ! "),"")</f>
      </c>
      <c r="AE56" s="621">
        <f>IF(IF(ISNA(INDEX(СГИ!$Q$3:$AJ$22,VLOOKUP($O56,СГИ!$O$3:$P$22,2),HLOOKUP(AE$50,СГИ!$Q$1:$AJ$2,2))),"",INDEX(СГИ!$Q$3:$AJ$22,VLOOKUP($O56,СГИ!$O$3:$P$22,2),HLOOKUP(AE$50,СГИ!$Q$1:$AJ$2,2)))=1,CONCATENATE("при измерении ",$O56," ",AE$50," не допускается ! "),"")</f>
      </c>
      <c r="AF56" s="621">
        <f>IF(IF(ISNA(INDEX(СГИ!$Q$3:$AJ$22,VLOOKUP($O56,СГИ!$O$3:$P$22,2),HLOOKUP(AF$50,СГИ!$Q$1:$AJ$2,2))),"",INDEX(СГИ!$Q$3:$AJ$22,VLOOKUP($O56,СГИ!$O$3:$P$22,2),HLOOKUP(AF$50,СГИ!$Q$1:$AJ$2,2)))=1,CONCATENATE("при измерении ",$O56," ",AF$50," не допускается ! "),"")</f>
      </c>
      <c r="AG56" s="649">
        <f>IF(IF(ISNA(INDEX(СГИ!$Q$3:$AJ$22,VLOOKUP($O56,СГИ!$O$3:$P$22,2),HLOOKUP(AG$50,СГИ!$Q$1:$AJ$2,2))),"",INDEX(СГИ!$Q$3:$AJ$22,VLOOKUP($O56,СГИ!$O$3:$P$22,2),HLOOKUP(AG$50,СГИ!$Q$1:$AJ$2,2)))=1,CONCATENATE("при измерении ",$O56," ",AG$50," не допускается ! "),"")</f>
      </c>
      <c r="AH56" s="1">
        <f t="shared" si="1"/>
      </c>
      <c r="AJ56" s="1">
        <v>1</v>
      </c>
      <c r="AK56" s="1" t="s">
        <v>633</v>
      </c>
    </row>
    <row r="57" spans="1:37" ht="33" customHeight="1" thickBot="1">
      <c r="A57" s="865" t="s">
        <v>708</v>
      </c>
      <c r="B57" s="868" t="s">
        <v>672</v>
      </c>
      <c r="C57" s="865" t="s">
        <v>702</v>
      </c>
      <c r="D57" s="878" t="s">
        <v>672</v>
      </c>
      <c r="E57" s="877" t="s">
        <v>711</v>
      </c>
      <c r="F57" s="878" t="s">
        <v>672</v>
      </c>
      <c r="G57" s="865" t="s">
        <v>723</v>
      </c>
      <c r="H57" s="883" t="s">
        <v>672</v>
      </c>
      <c r="I57" s="277" t="s">
        <v>609</v>
      </c>
      <c r="J57" s="801">
        <f>IF('И11-Переносные с вын. БД'!D14&gt;0,ПГ!D14,"")</f>
      </c>
      <c r="K57" s="804" t="s">
        <v>555</v>
      </c>
      <c r="L57" s="787">
        <f>IF(AND('И11-Переносные с вын. БД'!L6=1,'И11-Переносные с вын. БД'!D12=1,'И11-Переносные с вын. БД'!J26=1),0.05*SUM(L51:L56),0)</f>
        <v>0</v>
      </c>
      <c r="M57" s="597">
        <v>0.05</v>
      </c>
      <c r="N57" s="595"/>
      <c r="O57" s="648">
        <f>MID('И11-Переносные с вын. БД'!I13,2,9)</f>
      </c>
      <c r="P57" s="621">
        <f>IF(IF(ISNA(INDEX(СГИ!$Q$3:$AJ$22,VLOOKUP($O57,СГИ!$O$3:$P$22,2),HLOOKUP(P$50,СГИ!$Q$1:$AJ$2,2))),"",INDEX(СГИ!$Q$3:$AJ$22,VLOOKUP($O57,СГИ!$O$3:$P$22,2),HLOOKUP(P$50,СГИ!$Q$1:$AJ$2,2)))=1,CONCATENATE("при измерении ",$O57," ",P$50," не допускается ! "),"")</f>
      </c>
      <c r="Q57" s="621">
        <f>IF(IF(ISNA(INDEX(СГИ!$Q$3:$AJ$22,VLOOKUP($O57,СГИ!$O$3:$P$22,2),HLOOKUP(Q$50,СГИ!$Q$1:$AJ$2,2))),"",INDEX(СГИ!$Q$3:$AJ$22,VLOOKUP($O57,СГИ!$O$3:$P$22,2),HLOOKUP(Q$50,СГИ!$Q$1:$AJ$2,2)))=1,CONCATENATE("при измерении ",$O57," ",Q$50," не допускается ! "),"")</f>
      </c>
      <c r="R57" s="621">
        <f>IF(IF(ISNA(INDEX(СГИ!$Q$3:$AJ$22,VLOOKUP($O57,СГИ!$O$3:$P$22,2),HLOOKUP(R$50,СГИ!$Q$1:$AJ$2,2))),"",INDEX(СГИ!$Q$3:$AJ$22,VLOOKUP($O57,СГИ!$O$3:$P$22,2),HLOOKUP(R$50,СГИ!$Q$1:$AJ$2,2)))=1,CONCATENATE("при измерении ",$O57," ",R$50," не допускается ! "),"")</f>
      </c>
      <c r="S57" s="621">
        <f>IF(IF(ISNA(INDEX(СГИ!$Q$3:$AJ$22,VLOOKUP($O57,СГИ!$O$3:$P$22,2),HLOOKUP(S$50,СГИ!$Q$1:$AJ$2,2))),"",INDEX(СГИ!$Q$3:$AJ$22,VLOOKUP($O57,СГИ!$O$3:$P$22,2),HLOOKUP(S$50,СГИ!$Q$1:$AJ$2,2)))=1,CONCATENATE("при измерении ",$O57," ",S$50," не допускается ! "),"")</f>
      </c>
      <c r="T57" s="621">
        <f>IF(IF(ISNA(INDEX(СГИ!$Q$3:$AJ$22,VLOOKUP($O57,СГИ!$O$3:$P$22,2),HLOOKUP(T$50,СГИ!$Q$1:$AJ$2,2))),"",INDEX(СГИ!$Q$3:$AJ$22,VLOOKUP($O57,СГИ!$O$3:$P$22,2),HLOOKUP(T$50,СГИ!$Q$1:$AJ$2,2)))=1,CONCATENATE("при измерении ",$O57," ",T$50," не допускается ! "),"")</f>
      </c>
      <c r="U57" s="621">
        <f>IF(IF(ISNA(INDEX(СГИ!$Q$3:$AJ$22,VLOOKUP($O57,СГИ!$O$3:$P$22,2),HLOOKUP(U$50,СГИ!$Q$1:$AJ$2,2))),"",INDEX(СГИ!$Q$3:$AJ$22,VLOOKUP($O57,СГИ!$O$3:$P$22,2),HLOOKUP(U$50,СГИ!$Q$1:$AJ$2,2)))=1,CONCATENATE("при измерении ",$O57," ",U$50," не допускается ! "),"")</f>
      </c>
      <c r="V57" s="621">
        <f>IF(IF(ISNA(INDEX(СГИ!$Q$3:$AJ$22,VLOOKUP($O57,СГИ!$O$3:$P$22,2),HLOOKUP(V$50,СГИ!$Q$1:$AJ$2,2))),"",INDEX(СГИ!$Q$3:$AJ$22,VLOOKUP($O57,СГИ!$O$3:$P$22,2),HLOOKUP(V$50,СГИ!$Q$1:$AJ$2,2)))=1,CONCATENATE("при измерении ",$O57," ",V$50," не допускается ! "),"")</f>
      </c>
      <c r="W57" s="621">
        <f>IF(IF(ISNA(INDEX(СГИ!$Q$3:$AJ$22,VLOOKUP($O57,СГИ!$O$3:$P$22,2),HLOOKUP(W$50,СГИ!$Q$1:$AJ$2,2))),"",INDEX(СГИ!$Q$3:$AJ$22,VLOOKUP($O57,СГИ!$O$3:$P$22,2),HLOOKUP(W$50,СГИ!$Q$1:$AJ$2,2)))=1,CONCATENATE("при измерении ",$O57," ",W$50," не допускается ! "),"")</f>
      </c>
      <c r="X57" s="621">
        <f>IF(IF(ISNA(INDEX(СГИ!$Q$3:$AJ$22,VLOOKUP($O57,СГИ!$O$3:$P$22,2),HLOOKUP(X$50,СГИ!$Q$1:$AJ$2,2))),"",INDEX(СГИ!$Q$3:$AJ$22,VLOOKUP($O57,СГИ!$O$3:$P$22,2),HLOOKUP(X$50,СГИ!$Q$1:$AJ$2,2)))=1,CONCATENATE("при измерении ",$O57," ",X$50," не допускается ! "),"")</f>
      </c>
      <c r="Y57" s="621">
        <f>IF(IF(ISNA(INDEX(СГИ!$Q$3:$AJ$22,VLOOKUP($O57,СГИ!$O$3:$P$22,2),HLOOKUP(Y$50,СГИ!$Q$1:$AJ$2,2))),"",INDEX(СГИ!$Q$3:$AJ$22,VLOOKUP($O57,СГИ!$O$3:$P$22,2),HLOOKUP(Y$50,СГИ!$Q$1:$AJ$2,2)))=1,CONCATENATE("при измерении ",$O57," ",Y$50," не допускается ! "),"")</f>
      </c>
      <c r="Z57" s="621">
        <f>IF(IF(ISNA(INDEX(СГИ!$Q$3:$AJ$22,VLOOKUP($O57,СГИ!$O$3:$P$22,2),HLOOKUP(Z$50,СГИ!$Q$1:$AJ$2,2))),"",INDEX(СГИ!$Q$3:$AJ$22,VLOOKUP($O57,СГИ!$O$3:$P$22,2),HLOOKUP(Z$50,СГИ!$Q$1:$AJ$2,2)))=1,CONCATENATE("при измерении ",$O57," ",Z$50," не допускается ! "),"")</f>
      </c>
      <c r="AA57" s="621">
        <f>IF(IF(ISNA(INDEX(СГИ!$Q$3:$AJ$22,VLOOKUP($O57,СГИ!$O$3:$P$22,2),HLOOKUP(AA$50,СГИ!$Q$1:$AJ$2,2))),"",INDEX(СГИ!$Q$3:$AJ$22,VLOOKUP($O57,СГИ!$O$3:$P$22,2),HLOOKUP(AA$50,СГИ!$Q$1:$AJ$2,2)))=1,CONCATENATE("при измерении ",$O57," ",AA$50," не допускается ! "),"")</f>
      </c>
      <c r="AB57" s="621">
        <f>IF(IF(ISNA(INDEX(СГИ!$Q$3:$AJ$22,VLOOKUP($O57,СГИ!$O$3:$P$22,2),HLOOKUP(AB$50,СГИ!$Q$1:$AJ$2,2))),"",INDEX(СГИ!$Q$3:$AJ$22,VLOOKUP($O57,СГИ!$O$3:$P$22,2),HLOOKUP(AB$50,СГИ!$Q$1:$AJ$2,2)))=1,CONCATENATE("при измерении ",$O57," ",AB$50," не допускается ! "),"")</f>
      </c>
      <c r="AC57" s="621">
        <f>IF(IF(ISNA(INDEX(СГИ!$Q$3:$AJ$22,VLOOKUP($O57,СГИ!$O$3:$P$22,2),HLOOKUP(AC$50,СГИ!$Q$1:$AJ$2,2))),"",INDEX(СГИ!$Q$3:$AJ$22,VLOOKUP($O57,СГИ!$O$3:$P$22,2),HLOOKUP(AC$50,СГИ!$Q$1:$AJ$2,2)))=1,CONCATENATE("при измерении ",$O57," ",AC$50," не допускается ! "),"")</f>
      </c>
      <c r="AD57" s="621">
        <f>IF(IF(ISNA(INDEX(СГИ!$Q$3:$AJ$22,VLOOKUP($O57,СГИ!$O$3:$P$22,2),HLOOKUP(AD$50,СГИ!$Q$1:$AJ$2,2))),"",INDEX(СГИ!$Q$3:$AJ$22,VLOOKUP($O57,СГИ!$O$3:$P$22,2),HLOOKUP(AD$50,СГИ!$Q$1:$AJ$2,2)))=1,CONCATENATE("при измерении ",$O57," ",AD$50," не допускается ! "),"")</f>
      </c>
      <c r="AE57" s="621">
        <f>IF(IF(ISNA(INDEX(СГИ!$Q$3:$AJ$22,VLOOKUP($O57,СГИ!$O$3:$P$22,2),HLOOKUP(AE$50,СГИ!$Q$1:$AJ$2,2))),"",INDEX(СГИ!$Q$3:$AJ$22,VLOOKUP($O57,СГИ!$O$3:$P$22,2),HLOOKUP(AE$50,СГИ!$Q$1:$AJ$2,2)))=1,CONCATENATE("при измерении ",$O57," ",AE$50," не допускается ! "),"")</f>
      </c>
      <c r="AF57" s="621">
        <f>IF(IF(ISNA(INDEX(СГИ!$Q$3:$AJ$22,VLOOKUP($O57,СГИ!$O$3:$P$22,2),HLOOKUP(AF$50,СГИ!$Q$1:$AJ$2,2))),"",INDEX(СГИ!$Q$3:$AJ$22,VLOOKUP($O57,СГИ!$O$3:$P$22,2),HLOOKUP(AF$50,СГИ!$Q$1:$AJ$2,2)))=1,CONCATENATE("при измерении ",$O57," ",AF$50," не допускается ! "),"")</f>
      </c>
      <c r="AG57" s="649">
        <f>IF(IF(ISNA(INDEX(СГИ!$Q$3:$AJ$22,VLOOKUP($O57,СГИ!$O$3:$P$22,2),HLOOKUP(AG$50,СГИ!$Q$1:$AJ$2,2))),"",INDEX(СГИ!$Q$3:$AJ$22,VLOOKUP($O57,СГИ!$O$3:$P$22,2),HLOOKUP(AG$50,СГИ!$Q$1:$AJ$2,2)))=1,CONCATENATE("при измерении ",$O57," ",AG$50," не допускается ! "),"")</f>
      </c>
      <c r="AH57" s="1">
        <f t="shared" si="1"/>
      </c>
      <c r="AJ57" s="1">
        <v>0</v>
      </c>
      <c r="AK57" s="1" t="s">
        <v>634</v>
      </c>
    </row>
    <row r="58" spans="1:37" ht="33" customHeight="1" thickBot="1">
      <c r="A58" s="609" t="str">
        <f>IF(C58="",A60,C58)</f>
        <v>Укажите каналы измерения выбранных газов </v>
      </c>
      <c r="B58" s="867" t="str">
        <f>CONCATENATE("- ",ADDRESS(7,8,1,1,"перен. с выносн. БД"))</f>
        <v>- 'перен. с выносн. БД'!$H$7</v>
      </c>
      <c r="C58" s="609">
        <f>IF(C60="",IF(C61="","",C61),C60)</f>
      </c>
      <c r="D58" s="867" t="str">
        <f>CONCATENATE("- ",ADDRESS(7,8,1,1,"перен. с выносн. БД"))</f>
        <v>- 'перен. с выносн. БД'!$H$7</v>
      </c>
      <c r="E58" s="609" t="str">
        <f>IF(G58="",E60,G58)</f>
        <v>(укажите необходимость взрывозащиты, если необходимо)</v>
      </c>
      <c r="F58" s="867" t="str">
        <f>CONCATENATE("- ",ADDRESS(9,8,1,1,"перен. с выносн. БД"))</f>
        <v>- 'перен. с выносн. БД'!$H$9</v>
      </c>
      <c r="G58" s="609">
        <f>IF(G60="",IF(G61="",IF(G62="",IF(G63="",IF(G64="",IF(G65="",IF(G66="","",G66),G65),G64),G63),G62),G61),G60)</f>
      </c>
      <c r="H58" s="884" t="str">
        <f>CONCATENATE("- ",ADDRESS(9,8,1,1,"перен. с выносн. БД"))</f>
        <v>- 'перен. с выносн. БД'!$H$9</v>
      </c>
      <c r="I58" s="610" t="s">
        <v>610</v>
      </c>
      <c r="J58" s="801">
        <f>IF('И11-Переносные с вын. БД'!D15&gt;0,ПГ!D15,"")</f>
      </c>
      <c r="K58" s="804" t="s">
        <v>556</v>
      </c>
      <c r="L58" s="787">
        <f>IF(AND('И11-Переносные с вын. БД'!L6="",OR('И11-Переносные с вын. БД'!J26=1,'И11-Переносные с вын. БД'!J26=2)),0.1*SUM(L51:L56),0)</f>
        <v>0</v>
      </c>
      <c r="M58" s="596">
        <v>0.1</v>
      </c>
      <c r="N58" s="595"/>
      <c r="O58" s="650">
        <f>MID('И11-Переносные с вын. БД'!I14,2,9)</f>
      </c>
      <c r="P58" s="623"/>
      <c r="Q58" s="623"/>
      <c r="R58" s="623"/>
      <c r="S58" s="623"/>
      <c r="T58" s="623"/>
      <c r="U58" s="623"/>
      <c r="V58" s="623"/>
      <c r="W58" s="623"/>
      <c r="X58" s="623"/>
      <c r="Y58" s="623"/>
      <c r="Z58" s="623"/>
      <c r="AA58" s="623"/>
      <c r="AB58" s="623"/>
      <c r="AC58" s="623"/>
      <c r="AD58" s="623"/>
      <c r="AE58" s="623"/>
      <c r="AF58" s="623"/>
      <c r="AG58" s="651"/>
      <c r="AH58" s="1">
        <f t="shared" si="1"/>
      </c>
      <c r="AJ58" s="1">
        <v>1</v>
      </c>
      <c r="AK58" s="1" t="s">
        <v>632</v>
      </c>
    </row>
    <row r="59" spans="1:37" ht="33" customHeight="1" thickBot="1">
      <c r="A59" s="869" t="s">
        <v>666</v>
      </c>
      <c r="B59" s="864" t="s">
        <v>707</v>
      </c>
      <c r="C59" s="869" t="s">
        <v>704</v>
      </c>
      <c r="E59" s="570" t="s">
        <v>747</v>
      </c>
      <c r="G59" s="869" t="s">
        <v>724</v>
      </c>
      <c r="I59" s="610" t="s">
        <v>608</v>
      </c>
      <c r="J59" s="801">
        <f>IF('И11-Переносные с вын. БД'!D16&gt;0,ПГ!D16,"")</f>
      </c>
      <c r="K59" s="804" t="s">
        <v>557</v>
      </c>
      <c r="L59" s="787">
        <f>IF(AND('И11-Переносные с вын. БД'!L6="",'И11-Переносные с вын. БД'!J26=1,SUM('И11-Переносные с вын. БД'!J7+'И11-Переносные с вын. БД'!J8+'И11-Переносные с вын. БД'!J9+'И11-Переносные с вын. БД'!J10+'И11-Переносные с вын. БД'!J11+'И11-Переносные с вын. БД'!J12+'И11-Переносные с вын. БД'!J18)=1),0.15*SUM(L51:L56)-L58,0)</f>
        <v>0</v>
      </c>
      <c r="M59" s="596">
        <v>0.05</v>
      </c>
      <c r="N59" s="595"/>
      <c r="O59" s="648">
        <f>MID('И11-Переносные с вын. БД'!I15,2,9)</f>
      </c>
      <c r="P59" s="621">
        <f>IF(IF(ISNA(INDEX(СГИ!$Q$3:$AJ$22,VLOOKUP($O59,СГИ!$O$3:$P$22,2),HLOOKUP(P$50,СГИ!$Q$1:$AJ$2,2))),"",INDEX(СГИ!$Q$3:$AJ$22,VLOOKUP($O59,СГИ!$O$3:$P$22,2),HLOOKUP(P$50,СГИ!$Q$1:$AJ$2,2)))=1,CONCATENATE("при измерении ",$O59," ",P$50," не допускается ! "),"")</f>
      </c>
      <c r="Q59" s="621">
        <f>IF(IF(ISNA(INDEX(СГИ!$Q$3:$AJ$22,VLOOKUP($O59,СГИ!$O$3:$P$22,2),HLOOKUP(Q$50,СГИ!$Q$1:$AJ$2,2))),"",INDEX(СГИ!$Q$3:$AJ$22,VLOOKUP($O59,СГИ!$O$3:$P$22,2),HLOOKUP(Q$50,СГИ!$Q$1:$AJ$2,2)))=1,CONCATENATE("при измерении ",$O59," ",Q$50," не допускается ! "),"")</f>
      </c>
      <c r="R59" s="621">
        <f>IF(IF(ISNA(INDEX(СГИ!$Q$3:$AJ$22,VLOOKUP($O59,СГИ!$O$3:$P$22,2),HLOOKUP(R$50,СГИ!$Q$1:$AJ$2,2))),"",INDEX(СГИ!$Q$3:$AJ$22,VLOOKUP($O59,СГИ!$O$3:$P$22,2),HLOOKUP(R$50,СГИ!$Q$1:$AJ$2,2)))=1,CONCATENATE("при измерении ",$O59," ",R$50," не допускается ! "),"")</f>
      </c>
      <c r="S59" s="621">
        <f>IF(IF(ISNA(INDEX(СГИ!$Q$3:$AJ$22,VLOOKUP($O59,СГИ!$O$3:$P$22,2),HLOOKUP(S$50,СГИ!$Q$1:$AJ$2,2))),"",INDEX(СГИ!$Q$3:$AJ$22,VLOOKUP($O59,СГИ!$O$3:$P$22,2),HLOOKUP(S$50,СГИ!$Q$1:$AJ$2,2)))=1,CONCATENATE("при измерении ",$O59," ",S$50," не допускается ! "),"")</f>
      </c>
      <c r="T59" s="621">
        <f>IF(IF(ISNA(INDEX(СГИ!$Q$3:$AJ$22,VLOOKUP($O59,СГИ!$O$3:$P$22,2),HLOOKUP(T$50,СГИ!$Q$1:$AJ$2,2))),"",INDEX(СГИ!$Q$3:$AJ$22,VLOOKUP($O59,СГИ!$O$3:$P$22,2),HLOOKUP(T$50,СГИ!$Q$1:$AJ$2,2)))=1,CONCATENATE("при измерении ",$O59," ",T$50," не допускается ! "),"")</f>
      </c>
      <c r="U59" s="621">
        <f>IF(IF(ISNA(INDEX(СГИ!$Q$3:$AJ$22,VLOOKUP($O59,СГИ!$O$3:$P$22,2),HLOOKUP(U$50,СГИ!$Q$1:$AJ$2,2))),"",INDEX(СГИ!$Q$3:$AJ$22,VLOOKUP($O59,СГИ!$O$3:$P$22,2),HLOOKUP(U$50,СГИ!$Q$1:$AJ$2,2)))=1,CONCATENATE("при измерении ",$O59," ",U$50," не допускается ! "),"")</f>
      </c>
      <c r="V59" s="621">
        <f>IF(IF(ISNA(INDEX(СГИ!$Q$3:$AJ$22,VLOOKUP($O59,СГИ!$O$3:$P$22,2),HLOOKUP(V$50,СГИ!$Q$1:$AJ$2,2))),"",INDEX(СГИ!$Q$3:$AJ$22,VLOOKUP($O59,СГИ!$O$3:$P$22,2),HLOOKUP(V$50,СГИ!$Q$1:$AJ$2,2)))=1,CONCATENATE("при измерении ",$O59," ",V$50," не допускается ! "),"")</f>
      </c>
      <c r="W59" s="621">
        <f>IF(IF(ISNA(INDEX(СГИ!$Q$3:$AJ$22,VLOOKUP($O59,СГИ!$O$3:$P$22,2),HLOOKUP(W$50,СГИ!$Q$1:$AJ$2,2))),"",INDEX(СГИ!$Q$3:$AJ$22,VLOOKUP($O59,СГИ!$O$3:$P$22,2),HLOOKUP(W$50,СГИ!$Q$1:$AJ$2,2)))=1,CONCATENATE("при измерении ",$O59," ",W$50," не допускается ! "),"")</f>
      </c>
      <c r="X59" s="621">
        <f>IF(IF(ISNA(INDEX(СГИ!$Q$3:$AJ$22,VLOOKUP($O59,СГИ!$O$3:$P$22,2),HLOOKUP(X$50,СГИ!$Q$1:$AJ$2,2))),"",INDEX(СГИ!$Q$3:$AJ$22,VLOOKUP($O59,СГИ!$O$3:$P$22,2),HLOOKUP(X$50,СГИ!$Q$1:$AJ$2,2)))=1,CONCATENATE("при измерении ",$O59," ",X$50," не допускается ! "),"")</f>
      </c>
      <c r="Y59" s="621">
        <f>IF(IF(ISNA(INDEX(СГИ!$Q$3:$AJ$22,VLOOKUP($O59,СГИ!$O$3:$P$22,2),HLOOKUP(Y$50,СГИ!$Q$1:$AJ$2,2))),"",INDEX(СГИ!$Q$3:$AJ$22,VLOOKUP($O59,СГИ!$O$3:$P$22,2),HLOOKUP(Y$50,СГИ!$Q$1:$AJ$2,2)))=1,CONCATENATE("при измерении ",$O59," ",Y$50," не допускается ! "),"")</f>
      </c>
      <c r="Z59" s="621">
        <f>IF(IF(ISNA(INDEX(СГИ!$Q$3:$AJ$22,VLOOKUP($O59,СГИ!$O$3:$P$22,2),HLOOKUP(Z$50,СГИ!$Q$1:$AJ$2,2))),"",INDEX(СГИ!$Q$3:$AJ$22,VLOOKUP($O59,СГИ!$O$3:$P$22,2),HLOOKUP(Z$50,СГИ!$Q$1:$AJ$2,2)))=1,CONCATENATE("при измерении ",$O59," ",Z$50," не допускается ! "),"")</f>
      </c>
      <c r="AA59" s="621">
        <f>IF(IF(ISNA(INDEX(СГИ!$Q$3:$AJ$22,VLOOKUP($O59,СГИ!$O$3:$P$22,2),HLOOKUP(AA$50,СГИ!$Q$1:$AJ$2,2))),"",INDEX(СГИ!$Q$3:$AJ$22,VLOOKUP($O59,СГИ!$O$3:$P$22,2),HLOOKUP(AA$50,СГИ!$Q$1:$AJ$2,2)))=1,CONCATENATE("при измерении ",$O59," ",AA$50," не допускается ! "),"")</f>
      </c>
      <c r="AB59" s="621">
        <f>IF(IF(ISNA(INDEX(СГИ!$Q$3:$AJ$22,VLOOKUP($O59,СГИ!$O$3:$P$22,2),HLOOKUP(AB$50,СГИ!$Q$1:$AJ$2,2))),"",INDEX(СГИ!$Q$3:$AJ$22,VLOOKUP($O59,СГИ!$O$3:$P$22,2),HLOOKUP(AB$50,СГИ!$Q$1:$AJ$2,2)))=1,CONCATENATE("при измерении ",$O59," ",AB$50," не допускается ! "),"")</f>
      </c>
      <c r="AC59" s="621">
        <f>IF(IF(ISNA(INDEX(СГИ!$Q$3:$AJ$22,VLOOKUP($O59,СГИ!$O$3:$P$22,2),HLOOKUP(AC$50,СГИ!$Q$1:$AJ$2,2))),"",INDEX(СГИ!$Q$3:$AJ$22,VLOOKUP($O59,СГИ!$O$3:$P$22,2),HLOOKUP(AC$50,СГИ!$Q$1:$AJ$2,2)))=1,CONCATENATE("при измерении ",$O59," ",AC$50," не допускается ! "),"")</f>
      </c>
      <c r="AD59" s="621">
        <f>IF(IF(ISNA(INDEX(СГИ!$Q$3:$AJ$22,VLOOKUP($O59,СГИ!$O$3:$P$22,2),HLOOKUP(AD$50,СГИ!$Q$1:$AJ$2,2))),"",INDEX(СГИ!$Q$3:$AJ$22,VLOOKUP($O59,СГИ!$O$3:$P$22,2),HLOOKUP(AD$50,СГИ!$Q$1:$AJ$2,2)))=1,CONCATENATE("при измерении ",$O59," ",AD$50," не допускается ! "),"")</f>
      </c>
      <c r="AE59" s="621">
        <f>IF(IF(ISNA(INDEX(СГИ!$Q$3:$AJ$22,VLOOKUP($O59,СГИ!$O$3:$P$22,2),HLOOKUP(AE$50,СГИ!$Q$1:$AJ$2,2))),"",INDEX(СГИ!$Q$3:$AJ$22,VLOOKUP($O59,СГИ!$O$3:$P$22,2),HLOOKUP(AE$50,СГИ!$Q$1:$AJ$2,2)))=1,CONCATENATE("при измерении ",$O59," ",AE$50," не допускается ! "),"")</f>
      </c>
      <c r="AF59" s="621">
        <f>IF(IF(ISNA(INDEX(СГИ!$Q$3:$AJ$22,VLOOKUP($O59,СГИ!$O$3:$P$22,2),HLOOKUP(AF$50,СГИ!$Q$1:$AJ$2,2))),"",INDEX(СГИ!$Q$3:$AJ$22,VLOOKUP($O59,СГИ!$O$3:$P$22,2),HLOOKUP(AF$50,СГИ!$Q$1:$AJ$2,2)))=1,CONCATENATE("при измерении ",$O59," ",AF$50," не допускается ! "),"")</f>
      </c>
      <c r="AG59" s="649">
        <f>IF(IF(ISNA(INDEX(СГИ!$Q$3:$AJ$22,VLOOKUP($O59,СГИ!$O$3:$P$22,2),HLOOKUP(AG$50,СГИ!$Q$1:$AJ$2,2))),"",INDEX(СГИ!$Q$3:$AJ$22,VLOOKUP($O59,СГИ!$O$3:$P$22,2),HLOOKUP(AG$50,СГИ!$Q$1:$AJ$2,2)))=1,CONCATENATE("при измерении ",$O59," ",AG$50," не допускается ! "),"")</f>
      </c>
      <c r="AH59" s="1">
        <f t="shared" si="1"/>
      </c>
      <c r="AJ59" s="1">
        <v>0</v>
      </c>
      <c r="AK59" s="1" t="s">
        <v>631</v>
      </c>
    </row>
    <row r="60" spans="1:37" ht="33" customHeight="1" thickBot="1">
      <c r="A60" s="609" t="str">
        <f>CONCATENATE(A61,IF(A63="",A62,A63))</f>
        <v>Укажите каналы измерения выбранных газов </v>
      </c>
      <c r="B60" s="864" t="s">
        <v>667</v>
      </c>
      <c r="C60" s="609">
        <f>IF('И11-Переносные с вын. БД'!J26&gt;5,$I$51,"")</f>
      </c>
      <c r="D60" s="864" t="s">
        <v>601</v>
      </c>
      <c r="E60" s="609" t="str">
        <f>IF('И11-Переносные с вын. БД'!L6=1,"",I$58)</f>
        <v>(укажите необходимость взрывозащиты, если необходимо)</v>
      </c>
      <c r="G60" s="609">
        <f>IF(OR('И11-Переносные с вын. БД'!L6="",'И11-Переносные с вын. БД'!L6=1),"",I59)</f>
      </c>
      <c r="H60" s="885" t="s">
        <v>715</v>
      </c>
      <c r="I60" s="610" t="s">
        <v>751</v>
      </c>
      <c r="J60" s="801">
        <f>IF('И11-Переносные с вын. БД'!D17&gt;0,ПГ!D17,"")</f>
      </c>
      <c r="K60" s="804" t="s">
        <v>779</v>
      </c>
      <c r="L60" s="787">
        <f>IF('И11-Переносные с вын. БД'!L7&gt;6,('И11-Переносные с вын. БД'!L7-6)*ПГ!C31,0)</f>
        <v>0</v>
      </c>
      <c r="M60" s="591"/>
      <c r="N60" s="595"/>
      <c r="O60" s="648">
        <f>MID('И11-Переносные с вын. БД'!I16,2,9)</f>
      </c>
      <c r="P60" s="621">
        <f>IF(IF(ISNA(INDEX(СГИ!$Q$3:$AJ$22,VLOOKUP($O60,СГИ!$O$3:$P$22,2),HLOOKUP(P$50,СГИ!$Q$1:$AJ$2,2))),"",INDEX(СГИ!$Q$3:$AJ$22,VLOOKUP($O60,СГИ!$O$3:$P$22,2),HLOOKUP(P$50,СГИ!$Q$1:$AJ$2,2)))=1,CONCATENATE("при измерении ",$O60," ",P$50," не допускается ! "),"")</f>
      </c>
      <c r="Q60" s="621">
        <f>IF(IF(ISNA(INDEX(СГИ!$Q$3:$AJ$22,VLOOKUP($O60,СГИ!$O$3:$P$22,2),HLOOKUP(Q$50,СГИ!$Q$1:$AJ$2,2))),"",INDEX(СГИ!$Q$3:$AJ$22,VLOOKUP($O60,СГИ!$O$3:$P$22,2),HLOOKUP(Q$50,СГИ!$Q$1:$AJ$2,2)))=1,CONCATENATE("при измерении ",$O60," ",Q$50," не допускается ! "),"")</f>
      </c>
      <c r="R60" s="621">
        <f>IF(IF(ISNA(INDEX(СГИ!$Q$3:$AJ$22,VLOOKUP($O60,СГИ!$O$3:$P$22,2),HLOOKUP(R$50,СГИ!$Q$1:$AJ$2,2))),"",INDEX(СГИ!$Q$3:$AJ$22,VLOOKUP($O60,СГИ!$O$3:$P$22,2),HLOOKUP(R$50,СГИ!$Q$1:$AJ$2,2)))=1,CONCATENATE("при измерении ",$O60," ",R$50," не допускается ! "),"")</f>
      </c>
      <c r="S60" s="621">
        <f>IF(IF(ISNA(INDEX(СГИ!$Q$3:$AJ$22,VLOOKUP($O60,СГИ!$O$3:$P$22,2),HLOOKUP(S$50,СГИ!$Q$1:$AJ$2,2))),"",INDEX(СГИ!$Q$3:$AJ$22,VLOOKUP($O60,СГИ!$O$3:$P$22,2),HLOOKUP(S$50,СГИ!$Q$1:$AJ$2,2)))=1,CONCATENATE("при измерении ",$O60," ",S$50," не допускается ! "),"")</f>
      </c>
      <c r="T60" s="621">
        <f>IF(IF(ISNA(INDEX(СГИ!$Q$3:$AJ$22,VLOOKUP($O60,СГИ!$O$3:$P$22,2),HLOOKUP(T$50,СГИ!$Q$1:$AJ$2,2))),"",INDEX(СГИ!$Q$3:$AJ$22,VLOOKUP($O60,СГИ!$O$3:$P$22,2),HLOOKUP(T$50,СГИ!$Q$1:$AJ$2,2)))=1,CONCATENATE("при измерении ",$O60," ",T$50," не допускается ! "),"")</f>
      </c>
      <c r="U60" s="621">
        <f>IF(IF(ISNA(INDEX(СГИ!$Q$3:$AJ$22,VLOOKUP($O60,СГИ!$O$3:$P$22,2),HLOOKUP(U$50,СГИ!$Q$1:$AJ$2,2))),"",INDEX(СГИ!$Q$3:$AJ$22,VLOOKUP($O60,СГИ!$O$3:$P$22,2),HLOOKUP(U$50,СГИ!$Q$1:$AJ$2,2)))=1,CONCATENATE("при измерении ",$O60," ",U$50," не допускается ! "),"")</f>
      </c>
      <c r="V60" s="621">
        <f>IF(IF(ISNA(INDEX(СГИ!$Q$3:$AJ$22,VLOOKUP($O60,СГИ!$O$3:$P$22,2),HLOOKUP(V$50,СГИ!$Q$1:$AJ$2,2))),"",INDEX(СГИ!$Q$3:$AJ$22,VLOOKUP($O60,СГИ!$O$3:$P$22,2),HLOOKUP(V$50,СГИ!$Q$1:$AJ$2,2)))=1,CONCATENATE("при измерении ",$O60," ",V$50," не допускается ! "),"")</f>
      </c>
      <c r="W60" s="621">
        <f>IF(IF(ISNA(INDEX(СГИ!$Q$3:$AJ$22,VLOOKUP($O60,СГИ!$O$3:$P$22,2),HLOOKUP(W$50,СГИ!$Q$1:$AJ$2,2))),"",INDEX(СГИ!$Q$3:$AJ$22,VLOOKUP($O60,СГИ!$O$3:$P$22,2),HLOOKUP(W$50,СГИ!$Q$1:$AJ$2,2)))=1,CONCATENATE("при измерении ",$O60," ",W$50," не допускается ! "),"")</f>
      </c>
      <c r="X60" s="621">
        <f>IF(IF(ISNA(INDEX(СГИ!$Q$3:$AJ$22,VLOOKUP($O60,СГИ!$O$3:$P$22,2),HLOOKUP(X$50,СГИ!$Q$1:$AJ$2,2))),"",INDEX(СГИ!$Q$3:$AJ$22,VLOOKUP($O60,СГИ!$O$3:$P$22,2),HLOOKUP(X$50,СГИ!$Q$1:$AJ$2,2)))=1,CONCATENATE("при измерении ",$O60," ",X$50," не допускается ! "),"")</f>
      </c>
      <c r="Y60" s="621">
        <f>IF(IF(ISNA(INDEX(СГИ!$Q$3:$AJ$22,VLOOKUP($O60,СГИ!$O$3:$P$22,2),HLOOKUP(Y$50,СГИ!$Q$1:$AJ$2,2))),"",INDEX(СГИ!$Q$3:$AJ$22,VLOOKUP($O60,СГИ!$O$3:$P$22,2),HLOOKUP(Y$50,СГИ!$Q$1:$AJ$2,2)))=1,CONCATENATE("при измерении ",$O60," ",Y$50," не допускается ! "),"")</f>
      </c>
      <c r="Z60" s="621">
        <f>IF(IF(ISNA(INDEX(СГИ!$Q$3:$AJ$22,VLOOKUP($O60,СГИ!$O$3:$P$22,2),HLOOKUP(Z$50,СГИ!$Q$1:$AJ$2,2))),"",INDEX(СГИ!$Q$3:$AJ$22,VLOOKUP($O60,СГИ!$O$3:$P$22,2),HLOOKUP(Z$50,СГИ!$Q$1:$AJ$2,2)))=1,CONCATENATE("при измерении ",$O60," ",Z$50," не допускается ! "),"")</f>
      </c>
      <c r="AA60" s="621">
        <f>IF(IF(ISNA(INDEX(СГИ!$Q$3:$AJ$22,VLOOKUP($O60,СГИ!$O$3:$P$22,2),HLOOKUP(AA$50,СГИ!$Q$1:$AJ$2,2))),"",INDEX(СГИ!$Q$3:$AJ$22,VLOOKUP($O60,СГИ!$O$3:$P$22,2),HLOOKUP(AA$50,СГИ!$Q$1:$AJ$2,2)))=1,CONCATENATE("при измерении ",$O60," ",AA$50," не допускается ! "),"")</f>
      </c>
      <c r="AB60" s="621">
        <f>IF(IF(ISNA(INDEX(СГИ!$Q$3:$AJ$22,VLOOKUP($O60,СГИ!$O$3:$P$22,2),HLOOKUP(AB$50,СГИ!$Q$1:$AJ$2,2))),"",INDEX(СГИ!$Q$3:$AJ$22,VLOOKUP($O60,СГИ!$O$3:$P$22,2),HLOOKUP(AB$50,СГИ!$Q$1:$AJ$2,2)))=1,CONCATENATE("при измерении ",$O60," ",AB$50," не допускается ! "),"")</f>
      </c>
      <c r="AC60" s="621">
        <f>IF(IF(ISNA(INDEX(СГИ!$Q$3:$AJ$22,VLOOKUP($O60,СГИ!$O$3:$P$22,2),HLOOKUP(AC$50,СГИ!$Q$1:$AJ$2,2))),"",INDEX(СГИ!$Q$3:$AJ$22,VLOOKUP($O60,СГИ!$O$3:$P$22,2),HLOOKUP(AC$50,СГИ!$Q$1:$AJ$2,2)))=1,CONCATENATE("при измерении ",$O60," ",AC$50," не допускается ! "),"")</f>
      </c>
      <c r="AD60" s="621">
        <f>IF(IF(ISNA(INDEX(СГИ!$Q$3:$AJ$22,VLOOKUP($O60,СГИ!$O$3:$P$22,2),HLOOKUP(AD$50,СГИ!$Q$1:$AJ$2,2))),"",INDEX(СГИ!$Q$3:$AJ$22,VLOOKUP($O60,СГИ!$O$3:$P$22,2),HLOOKUP(AD$50,СГИ!$Q$1:$AJ$2,2)))=1,CONCATENATE("при измерении ",$O60," ",AD$50," не допускается ! "),"")</f>
      </c>
      <c r="AE60" s="621">
        <f>IF(IF(ISNA(INDEX(СГИ!$Q$3:$AJ$22,VLOOKUP($O60,СГИ!$O$3:$P$22,2),HLOOKUP(AE$50,СГИ!$Q$1:$AJ$2,2))),"",INDEX(СГИ!$Q$3:$AJ$22,VLOOKUP($O60,СГИ!$O$3:$P$22,2),HLOOKUP(AE$50,СГИ!$Q$1:$AJ$2,2)))=1,CONCATENATE("при измерении ",$O60," ",AE$50," не допускается ! "),"")</f>
      </c>
      <c r="AF60" s="621">
        <f>IF(IF(ISNA(INDEX(СГИ!$Q$3:$AJ$22,VLOOKUP($O60,СГИ!$O$3:$P$22,2),HLOOKUP(AF$50,СГИ!$Q$1:$AJ$2,2))),"",INDEX(СГИ!$Q$3:$AJ$22,VLOOKUP($O60,СГИ!$O$3:$P$22,2),HLOOKUP(AF$50,СГИ!$Q$1:$AJ$2,2)))=1,CONCATENATE("при измерении ",$O60," ",AF$50," не допускается ! "),"")</f>
      </c>
      <c r="AG60" s="649">
        <f>IF(IF(ISNA(INDEX(СГИ!$Q$3:$AJ$22,VLOOKUP($O60,СГИ!$O$3:$P$22,2),HLOOKUP(AG$50,СГИ!$Q$1:$AJ$2,2))),"",INDEX(СГИ!$Q$3:$AJ$22,VLOOKUP($O60,СГИ!$O$3:$P$22,2),HLOOKUP(AG$50,СГИ!$Q$1:$AJ$2,2)))=1,CONCATENATE("при измерении ",$O60," ",AG$50," не допускается ! "),"")</f>
      </c>
      <c r="AH60" s="1">
        <f t="shared" si="1"/>
      </c>
      <c r="AJ60" s="1">
        <v>0</v>
      </c>
      <c r="AK60" s="1" t="s">
        <v>654</v>
      </c>
    </row>
    <row r="61" spans="1:37" ht="33" customHeight="1" thickBot="1">
      <c r="A61" s="609">
        <f>IF('И11-Переносные с вын. БД'!J8+SUM('И11-Переносные с вын. БД'!J9:J11)&gt;MAX('И11-Переносные с вын. БД'!J8,'И11-Переносные с вын. БД'!J9:J11),$I$50,"")</f>
      </c>
      <c r="B61" s="864" t="s">
        <v>668</v>
      </c>
      <c r="C61" s="609">
        <f>IF(AND('И11-Переносные с вын. БД'!H2=I46,OR('И11-Переносные с вын. БД'!D20=1,'И11-Переносные с вын. БД'!D21=1)),I54,"")</f>
      </c>
      <c r="D61" s="864" t="s">
        <v>664</v>
      </c>
      <c r="G61" s="609">
        <f>IF('И11-Переносные с вын. БД'!D$8=1,$I$60,"")</f>
      </c>
      <c r="H61" s="885" t="s">
        <v>716</v>
      </c>
      <c r="I61" s="610" t="s">
        <v>611</v>
      </c>
      <c r="J61" s="801">
        <f>IF('И11-Переносные с вын. БД'!D18&gt;0,ПГ!D18,"")</f>
      </c>
      <c r="K61" s="804"/>
      <c r="L61" s="787"/>
      <c r="M61" s="591"/>
      <c r="N61" s="595"/>
      <c r="O61" s="648">
        <f>MID('И11-Переносные с вын. БД'!I17,2,9)</f>
      </c>
      <c r="P61" s="621">
        <f>IF(IF(ISNA(INDEX(СГИ!$Q$3:$AJ$22,VLOOKUP($O61,СГИ!$O$3:$P$22,2),HLOOKUP(P$50,СГИ!$Q$1:$AJ$2,2))),"",INDEX(СГИ!$Q$3:$AJ$22,VLOOKUP($O61,СГИ!$O$3:$P$22,2),HLOOKUP(P$50,СГИ!$Q$1:$AJ$2,2)))=1,CONCATENATE("при измерении ",$O61," ",P$50," не допускается ! "),"")</f>
      </c>
      <c r="Q61" s="621">
        <f>IF(IF(ISNA(INDEX(СГИ!$Q$3:$AJ$22,VLOOKUP($O61,СГИ!$O$3:$P$22,2),HLOOKUP(Q$50,СГИ!$Q$1:$AJ$2,2))),"",INDEX(СГИ!$Q$3:$AJ$22,VLOOKUP($O61,СГИ!$O$3:$P$22,2),HLOOKUP(Q$50,СГИ!$Q$1:$AJ$2,2)))=1,CONCATENATE("при измерении ",$O61," ",Q$50," не допускается ! "),"")</f>
      </c>
      <c r="R61" s="621">
        <f>IF(IF(ISNA(INDEX(СГИ!$Q$3:$AJ$22,VLOOKUP($O61,СГИ!$O$3:$P$22,2),HLOOKUP(R$50,СГИ!$Q$1:$AJ$2,2))),"",INDEX(СГИ!$Q$3:$AJ$22,VLOOKUP($O61,СГИ!$O$3:$P$22,2),HLOOKUP(R$50,СГИ!$Q$1:$AJ$2,2)))=1,CONCATENATE("при измерении ",$O61," ",R$50," не допускается ! "),"")</f>
      </c>
      <c r="S61" s="621">
        <f>IF(IF(ISNA(INDEX(СГИ!$Q$3:$AJ$22,VLOOKUP($O61,СГИ!$O$3:$P$22,2),HLOOKUP(S$50,СГИ!$Q$1:$AJ$2,2))),"",INDEX(СГИ!$Q$3:$AJ$22,VLOOKUP($O61,СГИ!$O$3:$P$22,2),HLOOKUP(S$50,СГИ!$Q$1:$AJ$2,2)))=1,CONCATENATE("при измерении ",$O61," ",S$50," не допускается ! "),"")</f>
      </c>
      <c r="T61" s="621">
        <f>IF(IF(ISNA(INDEX(СГИ!$Q$3:$AJ$22,VLOOKUP($O61,СГИ!$O$3:$P$22,2),HLOOKUP(T$50,СГИ!$Q$1:$AJ$2,2))),"",INDEX(СГИ!$Q$3:$AJ$22,VLOOKUP($O61,СГИ!$O$3:$P$22,2),HLOOKUP(T$50,СГИ!$Q$1:$AJ$2,2)))=1,CONCATENATE("при измерении ",$O61," ",T$50," не допускается ! "),"")</f>
      </c>
      <c r="U61" s="621">
        <f>IF(IF(ISNA(INDEX(СГИ!$Q$3:$AJ$22,VLOOKUP($O61,СГИ!$O$3:$P$22,2),HLOOKUP(U$50,СГИ!$Q$1:$AJ$2,2))),"",INDEX(СГИ!$Q$3:$AJ$22,VLOOKUP($O61,СГИ!$O$3:$P$22,2),HLOOKUP(U$50,СГИ!$Q$1:$AJ$2,2)))=1,CONCATENATE("при измерении ",$O61," ",U$50," не допускается ! "),"")</f>
      </c>
      <c r="V61" s="621">
        <f>IF(IF(ISNA(INDEX(СГИ!$Q$3:$AJ$22,VLOOKUP($O61,СГИ!$O$3:$P$22,2),HLOOKUP(V$50,СГИ!$Q$1:$AJ$2,2))),"",INDEX(СГИ!$Q$3:$AJ$22,VLOOKUP($O61,СГИ!$O$3:$P$22,2),HLOOKUP(V$50,СГИ!$Q$1:$AJ$2,2)))=1,CONCATENATE("при измерении ",$O61," ",V$50," не допускается ! "),"")</f>
      </c>
      <c r="W61" s="621">
        <f>IF(IF(ISNA(INDEX(СГИ!$Q$3:$AJ$22,VLOOKUP($O61,СГИ!$O$3:$P$22,2),HLOOKUP(W$50,СГИ!$Q$1:$AJ$2,2))),"",INDEX(СГИ!$Q$3:$AJ$22,VLOOKUP($O61,СГИ!$O$3:$P$22,2),HLOOKUP(W$50,СГИ!$Q$1:$AJ$2,2)))=1,CONCATENATE("при измерении ",$O61," ",W$50," не допускается ! "),"")</f>
      </c>
      <c r="X61" s="621">
        <f>IF(IF(ISNA(INDEX(СГИ!$Q$3:$AJ$22,VLOOKUP($O61,СГИ!$O$3:$P$22,2),HLOOKUP(X$50,СГИ!$Q$1:$AJ$2,2))),"",INDEX(СГИ!$Q$3:$AJ$22,VLOOKUP($O61,СГИ!$O$3:$P$22,2),HLOOKUP(X$50,СГИ!$Q$1:$AJ$2,2)))=1,CONCATENATE("при измерении ",$O61," ",X$50," не допускается ! "),"")</f>
      </c>
      <c r="Y61" s="621">
        <f>IF(IF(ISNA(INDEX(СГИ!$Q$3:$AJ$22,VLOOKUP($O61,СГИ!$O$3:$P$22,2),HLOOKUP(Y$50,СГИ!$Q$1:$AJ$2,2))),"",INDEX(СГИ!$Q$3:$AJ$22,VLOOKUP($O61,СГИ!$O$3:$P$22,2),HLOOKUP(Y$50,СГИ!$Q$1:$AJ$2,2)))=1,CONCATENATE("при измерении ",$O61," ",Y$50," не допускается ! "),"")</f>
      </c>
      <c r="Z61" s="621">
        <f>IF(IF(ISNA(INDEX(СГИ!$Q$3:$AJ$22,VLOOKUP($O61,СГИ!$O$3:$P$22,2),HLOOKUP(Z$50,СГИ!$Q$1:$AJ$2,2))),"",INDEX(СГИ!$Q$3:$AJ$22,VLOOKUP($O61,СГИ!$O$3:$P$22,2),HLOOKUP(Z$50,СГИ!$Q$1:$AJ$2,2)))=1,CONCATENATE("при измерении ",$O61," ",Z$50," не допускается ! "),"")</f>
      </c>
      <c r="AA61" s="621">
        <f>IF(IF(ISNA(INDEX(СГИ!$Q$3:$AJ$22,VLOOKUP($O61,СГИ!$O$3:$P$22,2),HLOOKUP(AA$50,СГИ!$Q$1:$AJ$2,2))),"",INDEX(СГИ!$Q$3:$AJ$22,VLOOKUP($O61,СГИ!$O$3:$P$22,2),HLOOKUP(AA$50,СГИ!$Q$1:$AJ$2,2)))=1,CONCATENATE("при измерении ",$O61," ",AA$50," не допускается ! "),"")</f>
      </c>
      <c r="AB61" s="621">
        <f>IF(IF(ISNA(INDEX(СГИ!$Q$3:$AJ$22,VLOOKUP($O61,СГИ!$O$3:$P$22,2),HLOOKUP(AB$50,СГИ!$Q$1:$AJ$2,2))),"",INDEX(СГИ!$Q$3:$AJ$22,VLOOKUP($O61,СГИ!$O$3:$P$22,2),HLOOKUP(AB$50,СГИ!$Q$1:$AJ$2,2)))=1,CONCATENATE("при измерении ",$O61," ",AB$50," не допускается ! "),"")</f>
      </c>
      <c r="AC61" s="621">
        <f>IF(IF(ISNA(INDEX(СГИ!$Q$3:$AJ$22,VLOOKUP($O61,СГИ!$O$3:$P$22,2),HLOOKUP(AC$50,СГИ!$Q$1:$AJ$2,2))),"",INDEX(СГИ!$Q$3:$AJ$22,VLOOKUP($O61,СГИ!$O$3:$P$22,2),HLOOKUP(AC$50,СГИ!$Q$1:$AJ$2,2)))=1,CONCATENATE("при измерении ",$O61," ",AC$50," не допускается ! "),"")</f>
      </c>
      <c r="AD61" s="621">
        <f>IF(IF(ISNA(INDEX(СГИ!$Q$3:$AJ$22,VLOOKUP($O61,СГИ!$O$3:$P$22,2),HLOOKUP(AD$50,СГИ!$Q$1:$AJ$2,2))),"",INDEX(СГИ!$Q$3:$AJ$22,VLOOKUP($O61,СГИ!$O$3:$P$22,2),HLOOKUP(AD$50,СГИ!$Q$1:$AJ$2,2)))=1,CONCATENATE("при измерении ",$O61," ",AD$50," не допускается ! "),"")</f>
      </c>
      <c r="AE61" s="621">
        <f>IF(IF(ISNA(INDEX(СГИ!$Q$3:$AJ$22,VLOOKUP($O61,СГИ!$O$3:$P$22,2),HLOOKUP(AE$50,СГИ!$Q$1:$AJ$2,2))),"",INDEX(СГИ!$Q$3:$AJ$22,VLOOKUP($O61,СГИ!$O$3:$P$22,2),HLOOKUP(AE$50,СГИ!$Q$1:$AJ$2,2)))=1,CONCATENATE("при измерении ",$O61," ",AE$50," не допускается ! "),"")</f>
      </c>
      <c r="AF61" s="621">
        <f>IF(IF(ISNA(INDEX(СГИ!$Q$3:$AJ$22,VLOOKUP($O61,СГИ!$O$3:$P$22,2),HLOOKUP(AF$50,СГИ!$Q$1:$AJ$2,2))),"",INDEX(СГИ!$Q$3:$AJ$22,VLOOKUP($O61,СГИ!$O$3:$P$22,2),HLOOKUP(AF$50,СГИ!$Q$1:$AJ$2,2)))=1,CONCATENATE("при измерении ",$O61," ",AF$50," не допускается ! "),"")</f>
      </c>
      <c r="AG61" s="649">
        <f>IF(IF(ISNA(INDEX(СГИ!$Q$3:$AJ$22,VLOOKUP($O61,СГИ!$O$3:$P$22,2),HLOOKUP(AG$50,СГИ!$Q$1:$AJ$2,2))),"",INDEX(СГИ!$Q$3:$AJ$22,VLOOKUP($O61,СГИ!$O$3:$P$22,2),HLOOKUP(AG$50,СГИ!$Q$1:$AJ$2,2)))=1,CONCATENATE("при измерении ",$O61," ",AG$50," не допускается ! "),"")</f>
      </c>
      <c r="AH61" s="1">
        <f t="shared" si="1"/>
      </c>
      <c r="AJ61" s="845" t="s">
        <v>660</v>
      </c>
      <c r="AK61" s="1" t="s">
        <v>655</v>
      </c>
    </row>
    <row r="62" spans="1:36" ht="33" customHeight="1" thickBot="1">
      <c r="A62" s="609" t="str">
        <f>IF('И11-Переносные с вын. БД'!J26=0,$I$49,AH50)</f>
        <v>Укажите каналы измерения выбранных газов </v>
      </c>
      <c r="B62" s="536" t="s">
        <v>671</v>
      </c>
      <c r="G62" s="609">
        <f>IF('И11-Переносные с вын. БД'!L6=1,IF(SUM('И11-Переносные с вын. БД'!D9:D11)&lt;2,"",I62),"")</f>
      </c>
      <c r="H62" s="885" t="s">
        <v>731</v>
      </c>
      <c r="I62" s="610" t="s">
        <v>661</v>
      </c>
      <c r="J62" s="801">
        <f>IF('И11-Переносные с вын. БД'!D19&gt;0,ПГ!D19,"")</f>
      </c>
      <c r="K62" s="804"/>
      <c r="L62" s="787"/>
      <c r="M62" s="591"/>
      <c r="N62" s="595"/>
      <c r="O62" s="648">
        <f>MID('И11-Переносные с вын. БД'!I18,2,9)</f>
      </c>
      <c r="P62" s="621">
        <f>IF(IF(ISNA(INDEX(СГИ!$Q$3:$AJ$22,VLOOKUP($O62,СГИ!$O$3:$P$22,2),HLOOKUP(P$50,СГИ!$Q$1:$AJ$2,2))),"",INDEX(СГИ!$Q$3:$AJ$22,VLOOKUP($O62,СГИ!$O$3:$P$22,2),HLOOKUP(P$50,СГИ!$Q$1:$AJ$2,2)))=1,CONCATENATE("при измерении ",$O62," ",P$50," не допускается ! "),"")</f>
      </c>
      <c r="Q62" s="621">
        <f>IF(IF(ISNA(INDEX(СГИ!$Q$3:$AJ$22,VLOOKUP($O62,СГИ!$O$3:$P$22,2),HLOOKUP(Q$50,СГИ!$Q$1:$AJ$2,2))),"",INDEX(СГИ!$Q$3:$AJ$22,VLOOKUP($O62,СГИ!$O$3:$P$22,2),HLOOKUP(Q$50,СГИ!$Q$1:$AJ$2,2)))=1,CONCATENATE("при измерении ",$O62," ",Q$50," не допускается ! "),"")</f>
      </c>
      <c r="R62" s="621">
        <f>IF(IF(ISNA(INDEX(СГИ!$Q$3:$AJ$22,VLOOKUP($O62,СГИ!$O$3:$P$22,2),HLOOKUP(R$50,СГИ!$Q$1:$AJ$2,2))),"",INDEX(СГИ!$Q$3:$AJ$22,VLOOKUP($O62,СГИ!$O$3:$P$22,2),HLOOKUP(R$50,СГИ!$Q$1:$AJ$2,2)))=1,CONCATENATE("при измерении ",$O62," ",R$50," не допускается ! "),"")</f>
      </c>
      <c r="S62" s="621">
        <f>IF(IF(ISNA(INDEX(СГИ!$Q$3:$AJ$22,VLOOKUP($O62,СГИ!$O$3:$P$22,2),HLOOKUP(S$50,СГИ!$Q$1:$AJ$2,2))),"",INDEX(СГИ!$Q$3:$AJ$22,VLOOKUP($O62,СГИ!$O$3:$P$22,2),HLOOKUP(S$50,СГИ!$Q$1:$AJ$2,2)))=1,CONCATENATE("при измерении ",$O62," ",S$50," не допускается ! "),"")</f>
      </c>
      <c r="T62" s="621">
        <f>IF(IF(ISNA(INDEX(СГИ!$Q$3:$AJ$22,VLOOKUP($O62,СГИ!$O$3:$P$22,2),HLOOKUP(T$50,СГИ!$Q$1:$AJ$2,2))),"",INDEX(СГИ!$Q$3:$AJ$22,VLOOKUP($O62,СГИ!$O$3:$P$22,2),HLOOKUP(T$50,СГИ!$Q$1:$AJ$2,2)))=1,CONCATENATE("при измерении ",$O62," ",T$50," не допускается ! "),"")</f>
      </c>
      <c r="U62" s="621">
        <f>IF(IF(ISNA(INDEX(СГИ!$Q$3:$AJ$22,VLOOKUP($O62,СГИ!$O$3:$P$22,2),HLOOKUP(U$50,СГИ!$Q$1:$AJ$2,2))),"",INDEX(СГИ!$Q$3:$AJ$22,VLOOKUP($O62,СГИ!$O$3:$P$22,2),HLOOKUP(U$50,СГИ!$Q$1:$AJ$2,2)))=1,CONCATENATE("при измерении ",$O62," ",U$50," не допускается ! "),"")</f>
      </c>
      <c r="V62" s="621">
        <f>IF(IF(ISNA(INDEX(СГИ!$Q$3:$AJ$22,VLOOKUP($O62,СГИ!$O$3:$P$22,2),HLOOKUP(V$50,СГИ!$Q$1:$AJ$2,2))),"",INDEX(СГИ!$Q$3:$AJ$22,VLOOKUP($O62,СГИ!$O$3:$P$22,2),HLOOKUP(V$50,СГИ!$Q$1:$AJ$2,2)))=1,CONCATENATE("при измерении ",$O62," ",V$50," не допускается ! "),"")</f>
      </c>
      <c r="W62" s="621">
        <f>IF(IF(ISNA(INDEX(СГИ!$Q$3:$AJ$22,VLOOKUP($O62,СГИ!$O$3:$P$22,2),HLOOKUP(W$50,СГИ!$Q$1:$AJ$2,2))),"",INDEX(СГИ!$Q$3:$AJ$22,VLOOKUP($O62,СГИ!$O$3:$P$22,2),HLOOKUP(W$50,СГИ!$Q$1:$AJ$2,2)))=1,CONCATENATE("при измерении ",$O62," ",W$50," не допускается ! "),"")</f>
      </c>
      <c r="X62" s="621">
        <f>IF(IF(ISNA(INDEX(СГИ!$Q$3:$AJ$22,VLOOKUP($O62,СГИ!$O$3:$P$22,2),HLOOKUP(X$50,СГИ!$Q$1:$AJ$2,2))),"",INDEX(СГИ!$Q$3:$AJ$22,VLOOKUP($O62,СГИ!$O$3:$P$22,2),HLOOKUP(X$50,СГИ!$Q$1:$AJ$2,2)))=1,CONCATENATE("при измерении ",$O62," ",X$50," не допускается ! "),"")</f>
      </c>
      <c r="Y62" s="621">
        <f>IF(IF(ISNA(INDEX(СГИ!$Q$3:$AJ$22,VLOOKUP($O62,СГИ!$O$3:$P$22,2),HLOOKUP(Y$50,СГИ!$Q$1:$AJ$2,2))),"",INDEX(СГИ!$Q$3:$AJ$22,VLOOKUP($O62,СГИ!$O$3:$P$22,2),HLOOKUP(Y$50,СГИ!$Q$1:$AJ$2,2)))=1,CONCATENATE("при измерении ",$O62," ",Y$50," не допускается ! "),"")</f>
      </c>
      <c r="Z62" s="621">
        <f>IF(IF(ISNA(INDEX(СГИ!$Q$3:$AJ$22,VLOOKUP($O62,СГИ!$O$3:$P$22,2),HLOOKUP(Z$50,СГИ!$Q$1:$AJ$2,2))),"",INDEX(СГИ!$Q$3:$AJ$22,VLOOKUP($O62,СГИ!$O$3:$P$22,2),HLOOKUP(Z$50,СГИ!$Q$1:$AJ$2,2)))=1,CONCATENATE("при измерении ",$O62," ",Z$50," не допускается ! "),"")</f>
      </c>
      <c r="AA62" s="621">
        <f>IF(IF(ISNA(INDEX(СГИ!$Q$3:$AJ$22,VLOOKUP($O62,СГИ!$O$3:$P$22,2),HLOOKUP(AA$50,СГИ!$Q$1:$AJ$2,2))),"",INDEX(СГИ!$Q$3:$AJ$22,VLOOKUP($O62,СГИ!$O$3:$P$22,2),HLOOKUP(AA$50,СГИ!$Q$1:$AJ$2,2)))=1,CONCATENATE("при измерении ",$O62," ",AA$50," не допускается ! "),"")</f>
      </c>
      <c r="AB62" s="621">
        <f>IF(IF(ISNA(INDEX(СГИ!$Q$3:$AJ$22,VLOOKUP($O62,СГИ!$O$3:$P$22,2),HLOOKUP(AB$50,СГИ!$Q$1:$AJ$2,2))),"",INDEX(СГИ!$Q$3:$AJ$22,VLOOKUP($O62,СГИ!$O$3:$P$22,2),HLOOKUP(AB$50,СГИ!$Q$1:$AJ$2,2)))=1,CONCATENATE("при измерении ",$O62," ",AB$50," не допускается ! "),"")</f>
      </c>
      <c r="AC62" s="621">
        <f>IF(IF(ISNA(INDEX(СГИ!$Q$3:$AJ$22,VLOOKUP($O62,СГИ!$O$3:$P$22,2),HLOOKUP(AC$50,СГИ!$Q$1:$AJ$2,2))),"",INDEX(СГИ!$Q$3:$AJ$22,VLOOKUP($O62,СГИ!$O$3:$P$22,2),HLOOKUP(AC$50,СГИ!$Q$1:$AJ$2,2)))=1,CONCATENATE("при измерении ",$O62," ",AC$50," не допускается ! "),"")</f>
      </c>
      <c r="AD62" s="621">
        <f>IF(IF(ISNA(INDEX(СГИ!$Q$3:$AJ$22,VLOOKUP($O62,СГИ!$O$3:$P$22,2),HLOOKUP(AD$50,СГИ!$Q$1:$AJ$2,2))),"",INDEX(СГИ!$Q$3:$AJ$22,VLOOKUP($O62,СГИ!$O$3:$P$22,2),HLOOKUP(AD$50,СГИ!$Q$1:$AJ$2,2)))=1,CONCATENATE("при измерении ",$O62," ",AD$50," не допускается ! "),"")</f>
      </c>
      <c r="AE62" s="621">
        <f>IF(IF(ISNA(INDEX(СГИ!$Q$3:$AJ$22,VLOOKUP($O62,СГИ!$O$3:$P$22,2),HLOOKUP(AE$50,СГИ!$Q$1:$AJ$2,2))),"",INDEX(СГИ!$Q$3:$AJ$22,VLOOKUP($O62,СГИ!$O$3:$P$22,2),HLOOKUP(AE$50,СГИ!$Q$1:$AJ$2,2)))=1,CONCATENATE("при измерении ",$O62," ",AE$50," не допускается ! "),"")</f>
      </c>
      <c r="AF62" s="621">
        <f>IF(IF(ISNA(INDEX(СГИ!$Q$3:$AJ$22,VLOOKUP($O62,СГИ!$O$3:$P$22,2),HLOOKUP(AF$50,СГИ!$Q$1:$AJ$2,2))),"",INDEX(СГИ!$Q$3:$AJ$22,VLOOKUP($O62,СГИ!$O$3:$P$22,2),HLOOKUP(AF$50,СГИ!$Q$1:$AJ$2,2)))=1,CONCATENATE("при измерении ",$O62," ",AF$50," не допускается ! "),"")</f>
      </c>
      <c r="AG62" s="649">
        <f>IF(IF(ISNA(INDEX(СГИ!$Q$3:$AJ$22,VLOOKUP($O62,СГИ!$O$3:$P$22,2),HLOOKUP(AG$50,СГИ!$Q$1:$AJ$2,2))),"",INDEX(СГИ!$Q$3:$AJ$22,VLOOKUP($O62,СГИ!$O$3:$P$22,2),HLOOKUP(AG$50,СГИ!$Q$1:$AJ$2,2)))=1,CONCATENATE("при измерении ",$O62," ",AG$50," не допускается ! "),"")</f>
      </c>
      <c r="AH62" s="1">
        <f t="shared" si="1"/>
      </c>
      <c r="AJ62" s="930" t="s">
        <v>777</v>
      </c>
    </row>
    <row r="63" spans="1:36" ht="33" customHeight="1" thickBot="1">
      <c r="A63" s="609">
        <f>IF('И11-Переносные с вын. БД'!H2="",I48,"")</f>
      </c>
      <c r="G63" s="609">
        <f>IF(AND('И11-Переносные с вын. БД'!L6=1,SUM('И11-Переносные с вын. БД'!D9:D11)=1),IF(SUM('И11-Переносные с вын. БД'!D14:D23)&lt;2,"",I63),"")</f>
      </c>
      <c r="H63" s="885" t="s">
        <v>732</v>
      </c>
      <c r="I63" s="610" t="s">
        <v>662</v>
      </c>
      <c r="J63" s="801">
        <f>IF('И11-Переносные с вын. БД'!D13&gt;0,ПГ!D13,"")</f>
      </c>
      <c r="K63" s="804"/>
      <c r="L63" s="787"/>
      <c r="M63" s="591"/>
      <c r="N63" s="595"/>
      <c r="O63" s="648">
        <f>MID('И11-Переносные с вын. БД'!I19,2,9)</f>
      </c>
      <c r="P63" s="621">
        <f>IF(IF(ISNA(INDEX(СГИ!$Q$3:$AJ$22,VLOOKUP($O63,СГИ!$O$3:$P$22,2),HLOOKUP(P$50,СГИ!$Q$1:$AJ$2,2))),"",INDEX(СГИ!$Q$3:$AJ$22,VLOOKUP($O63,СГИ!$O$3:$P$22,2),HLOOKUP(P$50,СГИ!$Q$1:$AJ$2,2)))=1,CONCATENATE("при измерении ",$O63," ",P$50," не допускается ! "),"")</f>
      </c>
      <c r="Q63" s="621">
        <f>IF(IF(ISNA(INDEX(СГИ!$Q$3:$AJ$22,VLOOKUP($O63,СГИ!$O$3:$P$22,2),HLOOKUP(Q$50,СГИ!$Q$1:$AJ$2,2))),"",INDEX(СГИ!$Q$3:$AJ$22,VLOOKUP($O63,СГИ!$O$3:$P$22,2),HLOOKUP(Q$50,СГИ!$Q$1:$AJ$2,2)))=1,CONCATENATE("при измерении ",$O63," ",Q$50," не допускается ! "),"")</f>
      </c>
      <c r="R63" s="621">
        <f>IF(IF(ISNA(INDEX(СГИ!$Q$3:$AJ$22,VLOOKUP($O63,СГИ!$O$3:$P$22,2),HLOOKUP(R$50,СГИ!$Q$1:$AJ$2,2))),"",INDEX(СГИ!$Q$3:$AJ$22,VLOOKUP($O63,СГИ!$O$3:$P$22,2),HLOOKUP(R$50,СГИ!$Q$1:$AJ$2,2)))=1,CONCATENATE("при измерении ",$O63," ",R$50," не допускается ! "),"")</f>
      </c>
      <c r="S63" s="621">
        <f>IF(IF(ISNA(INDEX(СГИ!$Q$3:$AJ$22,VLOOKUP($O63,СГИ!$O$3:$P$22,2),HLOOKUP(S$50,СГИ!$Q$1:$AJ$2,2))),"",INDEX(СГИ!$Q$3:$AJ$22,VLOOKUP($O63,СГИ!$O$3:$P$22,2),HLOOKUP(S$50,СГИ!$Q$1:$AJ$2,2)))=1,CONCATENATE("при измерении ",$O63," ",S$50," не допускается ! "),"")</f>
      </c>
      <c r="T63" s="621">
        <f>IF(IF(ISNA(INDEX(СГИ!$Q$3:$AJ$22,VLOOKUP($O63,СГИ!$O$3:$P$22,2),HLOOKUP(T$50,СГИ!$Q$1:$AJ$2,2))),"",INDEX(СГИ!$Q$3:$AJ$22,VLOOKUP($O63,СГИ!$O$3:$P$22,2),HLOOKUP(T$50,СГИ!$Q$1:$AJ$2,2)))=1,CONCATENATE("при измерении ",$O63," ",T$50," не допускается ! "),"")</f>
      </c>
      <c r="U63" s="621">
        <f>IF(IF(ISNA(INDEX(СГИ!$Q$3:$AJ$22,VLOOKUP($O63,СГИ!$O$3:$P$22,2),HLOOKUP(U$50,СГИ!$Q$1:$AJ$2,2))),"",INDEX(СГИ!$Q$3:$AJ$22,VLOOKUP($O63,СГИ!$O$3:$P$22,2),HLOOKUP(U$50,СГИ!$Q$1:$AJ$2,2)))=1,CONCATENATE("при измерении ",$O63," ",U$50," не допускается ! "),"")</f>
      </c>
      <c r="V63" s="621">
        <f>IF(IF(ISNA(INDEX(СГИ!$Q$3:$AJ$22,VLOOKUP($O63,СГИ!$O$3:$P$22,2),HLOOKUP(V$50,СГИ!$Q$1:$AJ$2,2))),"",INDEX(СГИ!$Q$3:$AJ$22,VLOOKUP($O63,СГИ!$O$3:$P$22,2),HLOOKUP(V$50,СГИ!$Q$1:$AJ$2,2)))=1,CONCATENATE("при измерении ",$O63," ",V$50," не допускается ! "),"")</f>
      </c>
      <c r="W63" s="621">
        <f>IF(IF(ISNA(INDEX(СГИ!$Q$3:$AJ$22,VLOOKUP($O63,СГИ!$O$3:$P$22,2),HLOOKUP(W$50,СГИ!$Q$1:$AJ$2,2))),"",INDEX(СГИ!$Q$3:$AJ$22,VLOOKUP($O63,СГИ!$O$3:$P$22,2),HLOOKUP(W$50,СГИ!$Q$1:$AJ$2,2)))=1,CONCATENATE("при измерении ",$O63," ",W$50," не допускается ! "),"")</f>
      </c>
      <c r="X63" s="621">
        <f>IF(IF(ISNA(INDEX(СГИ!$Q$3:$AJ$22,VLOOKUP($O63,СГИ!$O$3:$P$22,2),HLOOKUP(X$50,СГИ!$Q$1:$AJ$2,2))),"",INDEX(СГИ!$Q$3:$AJ$22,VLOOKUP($O63,СГИ!$O$3:$P$22,2),HLOOKUP(X$50,СГИ!$Q$1:$AJ$2,2)))=1,CONCATENATE("при измерении ",$O63," ",X$50," не допускается ! "),"")</f>
      </c>
      <c r="Y63" s="621">
        <f>IF(IF(ISNA(INDEX(СГИ!$Q$3:$AJ$22,VLOOKUP($O63,СГИ!$O$3:$P$22,2),HLOOKUP(Y$50,СГИ!$Q$1:$AJ$2,2))),"",INDEX(СГИ!$Q$3:$AJ$22,VLOOKUP($O63,СГИ!$O$3:$P$22,2),HLOOKUP(Y$50,СГИ!$Q$1:$AJ$2,2)))=1,CONCATENATE("при измерении ",$O63," ",Y$50," не допускается ! "),"")</f>
      </c>
      <c r="Z63" s="621">
        <f>IF(IF(ISNA(INDEX(СГИ!$Q$3:$AJ$22,VLOOKUP($O63,СГИ!$O$3:$P$22,2),HLOOKUP(Z$50,СГИ!$Q$1:$AJ$2,2))),"",INDEX(СГИ!$Q$3:$AJ$22,VLOOKUP($O63,СГИ!$O$3:$P$22,2),HLOOKUP(Z$50,СГИ!$Q$1:$AJ$2,2)))=1,CONCATENATE("при измерении ",$O63," ",Z$50," не допускается ! "),"")</f>
      </c>
      <c r="AA63" s="621">
        <f>IF(IF(ISNA(INDEX(СГИ!$Q$3:$AJ$22,VLOOKUP($O63,СГИ!$O$3:$P$22,2),HLOOKUP(AA$50,СГИ!$Q$1:$AJ$2,2))),"",INDEX(СГИ!$Q$3:$AJ$22,VLOOKUP($O63,СГИ!$O$3:$P$22,2),HLOOKUP(AA$50,СГИ!$Q$1:$AJ$2,2)))=1,CONCATENATE("при измерении ",$O63," ",AA$50," не допускается ! "),"")</f>
      </c>
      <c r="AB63" s="621">
        <f>IF(IF(ISNA(INDEX(СГИ!$Q$3:$AJ$22,VLOOKUP($O63,СГИ!$O$3:$P$22,2),HLOOKUP(AB$50,СГИ!$Q$1:$AJ$2,2))),"",INDEX(СГИ!$Q$3:$AJ$22,VLOOKUP($O63,СГИ!$O$3:$P$22,2),HLOOKUP(AB$50,СГИ!$Q$1:$AJ$2,2)))=1,CONCATENATE("при измерении ",$O63," ",AB$50," не допускается ! "),"")</f>
      </c>
      <c r="AC63" s="621">
        <f>IF(IF(ISNA(INDEX(СГИ!$Q$3:$AJ$22,VLOOKUP($O63,СГИ!$O$3:$P$22,2),HLOOKUP(AC$50,СГИ!$Q$1:$AJ$2,2))),"",INDEX(СГИ!$Q$3:$AJ$22,VLOOKUP($O63,СГИ!$O$3:$P$22,2),HLOOKUP(AC$50,СГИ!$Q$1:$AJ$2,2)))=1,CONCATENATE("при измерении ",$O63," ",AC$50," не допускается ! "),"")</f>
      </c>
      <c r="AD63" s="621">
        <f>IF(IF(ISNA(INDEX(СГИ!$Q$3:$AJ$22,VLOOKUP($O63,СГИ!$O$3:$P$22,2),HLOOKUP(AD$50,СГИ!$Q$1:$AJ$2,2))),"",INDEX(СГИ!$Q$3:$AJ$22,VLOOKUP($O63,СГИ!$O$3:$P$22,2),HLOOKUP(AD$50,СГИ!$Q$1:$AJ$2,2)))=1,CONCATENATE("при измерении ",$O63," ",AD$50," не допускается ! "),"")</f>
      </c>
      <c r="AE63" s="621">
        <f>IF(IF(ISNA(INDEX(СГИ!$Q$3:$AJ$22,VLOOKUP($O63,СГИ!$O$3:$P$22,2),HLOOKUP(AE$50,СГИ!$Q$1:$AJ$2,2))),"",INDEX(СГИ!$Q$3:$AJ$22,VLOOKUP($O63,СГИ!$O$3:$P$22,2),HLOOKUP(AE$50,СГИ!$Q$1:$AJ$2,2)))=1,CONCATENATE("при измерении ",$O63," ",AE$50," не допускается ! "),"")</f>
      </c>
      <c r="AF63" s="621">
        <f>IF(IF(ISNA(INDEX(СГИ!$Q$3:$AJ$22,VLOOKUP($O63,СГИ!$O$3:$P$22,2),HLOOKUP(AF$50,СГИ!$Q$1:$AJ$2,2))),"",INDEX(СГИ!$Q$3:$AJ$22,VLOOKUP($O63,СГИ!$O$3:$P$22,2),HLOOKUP(AF$50,СГИ!$Q$1:$AJ$2,2)))=1,CONCATENATE("при измерении ",$O63," ",AF$50," не допускается ! "),"")</f>
      </c>
      <c r="AG63" s="649">
        <f>IF(IF(ISNA(INDEX(СГИ!$Q$3:$AJ$22,VLOOKUP($O63,СГИ!$O$3:$P$22,2),HLOOKUP(AG$50,СГИ!$Q$1:$AJ$2,2))),"",INDEX(СГИ!$Q$3:$AJ$22,VLOOKUP($O63,СГИ!$O$3:$P$22,2),HLOOKUP(AG$50,СГИ!$Q$1:$AJ$2,2)))=1,CONCATENATE("при измерении ",$O63," ",AG$50," не допускается ! "),"")</f>
      </c>
      <c r="AH63" s="1">
        <f t="shared" si="1"/>
      </c>
      <c r="AJ63" s="930" t="s">
        <v>778</v>
      </c>
    </row>
    <row r="64" spans="2:34" ht="33" customHeight="1" thickBot="1">
      <c r="B64"/>
      <c r="G64" s="609">
        <f>IF(AND('И11-Переносные с вын. БД'!L6=1,SUM('И11-Переносные с вын. БД'!D9:D11)=1),IF(SUM('И11-Переносные с вын. БД'!D12:D13)&lt;1,"",I64),"")</f>
      </c>
      <c r="H64" s="885" t="s">
        <v>733</v>
      </c>
      <c r="I64" s="610" t="s">
        <v>663</v>
      </c>
      <c r="J64" s="801">
        <f>IF('И11-Переносные с вын. БД'!D20&gt;0,ПГ!D20,"")</f>
      </c>
      <c r="K64" s="804"/>
      <c r="L64" s="787"/>
      <c r="M64" s="591"/>
      <c r="N64" s="595"/>
      <c r="O64" s="648">
        <f>MID('И11-Переносные с вын. БД'!I20,2,9)</f>
      </c>
      <c r="P64" s="621">
        <f>IF(IF(ISNA(INDEX(СГИ!$Q$3:$AJ$22,VLOOKUP($O64,СГИ!$O$3:$P$22,2),HLOOKUP(P$50,СГИ!$Q$1:$AJ$2,2))),"",INDEX(СГИ!$Q$3:$AJ$22,VLOOKUP($O64,СГИ!$O$3:$P$22,2),HLOOKUP(P$50,СГИ!$Q$1:$AJ$2,2)))=1,CONCATENATE("при измерении ",$O64," ",P$50," не допускается ! "),"")</f>
      </c>
      <c r="Q64" s="621">
        <f>IF(IF(ISNA(INDEX(СГИ!$Q$3:$AJ$22,VLOOKUP($O64,СГИ!$O$3:$P$22,2),HLOOKUP(Q$50,СГИ!$Q$1:$AJ$2,2))),"",INDEX(СГИ!$Q$3:$AJ$22,VLOOKUP($O64,СГИ!$O$3:$P$22,2),HLOOKUP(Q$50,СГИ!$Q$1:$AJ$2,2)))=1,CONCATENATE("при измерении ",$O64," ",Q$50," не допускается ! "),"")</f>
      </c>
      <c r="R64" s="621">
        <f>IF(IF(ISNA(INDEX(СГИ!$Q$3:$AJ$22,VLOOKUP($O64,СГИ!$O$3:$P$22,2),HLOOKUP(R$50,СГИ!$Q$1:$AJ$2,2))),"",INDEX(СГИ!$Q$3:$AJ$22,VLOOKUP($O64,СГИ!$O$3:$P$22,2),HLOOKUP(R$50,СГИ!$Q$1:$AJ$2,2)))=1,CONCATENATE("при измерении ",$O64," ",R$50," не допускается ! "),"")</f>
      </c>
      <c r="S64" s="621">
        <f>IF(IF(ISNA(INDEX(СГИ!$Q$3:$AJ$22,VLOOKUP($O64,СГИ!$O$3:$P$22,2),HLOOKUP(S$50,СГИ!$Q$1:$AJ$2,2))),"",INDEX(СГИ!$Q$3:$AJ$22,VLOOKUP($O64,СГИ!$O$3:$P$22,2),HLOOKUP(S$50,СГИ!$Q$1:$AJ$2,2)))=1,CONCATENATE("при измерении ",$O64," ",S$50," не допускается ! "),"")</f>
      </c>
      <c r="T64" s="621">
        <f>IF(IF(ISNA(INDEX(СГИ!$Q$3:$AJ$22,VLOOKUP($O64,СГИ!$O$3:$P$22,2),HLOOKUP(T$50,СГИ!$Q$1:$AJ$2,2))),"",INDEX(СГИ!$Q$3:$AJ$22,VLOOKUP($O64,СГИ!$O$3:$P$22,2),HLOOKUP(T$50,СГИ!$Q$1:$AJ$2,2)))=1,CONCATENATE("при измерении ",$O64," ",T$50," не допускается ! "),"")</f>
      </c>
      <c r="U64" s="621">
        <f>IF(IF(ISNA(INDEX(СГИ!$Q$3:$AJ$22,VLOOKUP($O64,СГИ!$O$3:$P$22,2),HLOOKUP(U$50,СГИ!$Q$1:$AJ$2,2))),"",INDEX(СГИ!$Q$3:$AJ$22,VLOOKUP($O64,СГИ!$O$3:$P$22,2),HLOOKUP(U$50,СГИ!$Q$1:$AJ$2,2)))=1,CONCATENATE("при измерении ",$O64," ",U$50," не допускается ! "),"")</f>
      </c>
      <c r="V64" s="621">
        <f>IF(IF(ISNA(INDEX(СГИ!$Q$3:$AJ$22,VLOOKUP($O64,СГИ!$O$3:$P$22,2),HLOOKUP(V$50,СГИ!$Q$1:$AJ$2,2))),"",INDEX(СГИ!$Q$3:$AJ$22,VLOOKUP($O64,СГИ!$O$3:$P$22,2),HLOOKUP(V$50,СГИ!$Q$1:$AJ$2,2)))=1,CONCATENATE("при измерении ",$O64," ",V$50," не допускается ! "),"")</f>
      </c>
      <c r="W64" s="621">
        <f>IF(IF(ISNA(INDEX(СГИ!$Q$3:$AJ$22,VLOOKUP($O64,СГИ!$O$3:$P$22,2),HLOOKUP(W$50,СГИ!$Q$1:$AJ$2,2))),"",INDEX(СГИ!$Q$3:$AJ$22,VLOOKUP($O64,СГИ!$O$3:$P$22,2),HLOOKUP(W$50,СГИ!$Q$1:$AJ$2,2)))=1,CONCATENATE("при измерении ",$O64," ",W$50," не допускается ! "),"")</f>
      </c>
      <c r="X64" s="621">
        <f>IF(IF(ISNA(INDEX(СГИ!$Q$3:$AJ$22,VLOOKUP($O64,СГИ!$O$3:$P$22,2),HLOOKUP(X$50,СГИ!$Q$1:$AJ$2,2))),"",INDEX(СГИ!$Q$3:$AJ$22,VLOOKUP($O64,СГИ!$O$3:$P$22,2),HLOOKUP(X$50,СГИ!$Q$1:$AJ$2,2)))=1,CONCATENATE("при измерении ",$O64," ",X$50," не допускается ! "),"")</f>
      </c>
      <c r="Y64" s="621">
        <f>IF(IF(ISNA(INDEX(СГИ!$Q$3:$AJ$22,VLOOKUP($O64,СГИ!$O$3:$P$22,2),HLOOKUP(Y$50,СГИ!$Q$1:$AJ$2,2))),"",INDEX(СГИ!$Q$3:$AJ$22,VLOOKUP($O64,СГИ!$O$3:$P$22,2),HLOOKUP(Y$50,СГИ!$Q$1:$AJ$2,2)))=1,CONCATENATE("при измерении ",$O64," ",Y$50," не допускается ! "),"")</f>
      </c>
      <c r="Z64" s="621">
        <f>IF(IF(ISNA(INDEX(СГИ!$Q$3:$AJ$22,VLOOKUP($O64,СГИ!$O$3:$P$22,2),HLOOKUP(Z$50,СГИ!$Q$1:$AJ$2,2))),"",INDEX(СГИ!$Q$3:$AJ$22,VLOOKUP($O64,СГИ!$O$3:$P$22,2),HLOOKUP(Z$50,СГИ!$Q$1:$AJ$2,2)))=1,CONCATENATE("при измерении ",$O64," ",Z$50," не допускается ! "),"")</f>
      </c>
      <c r="AA64" s="621">
        <f>IF(IF(ISNA(INDEX(СГИ!$Q$3:$AJ$22,VLOOKUP($O64,СГИ!$O$3:$P$22,2),HLOOKUP(AA$50,СГИ!$Q$1:$AJ$2,2))),"",INDEX(СГИ!$Q$3:$AJ$22,VLOOKUP($O64,СГИ!$O$3:$P$22,2),HLOOKUP(AA$50,СГИ!$Q$1:$AJ$2,2)))=1,CONCATENATE("при измерении ",$O64," ",AA$50," не допускается ! "),"")</f>
      </c>
      <c r="AB64" s="621">
        <f>IF(IF(ISNA(INDEX(СГИ!$Q$3:$AJ$22,VLOOKUP($O64,СГИ!$O$3:$P$22,2),HLOOKUP(AB$50,СГИ!$Q$1:$AJ$2,2))),"",INDEX(СГИ!$Q$3:$AJ$22,VLOOKUP($O64,СГИ!$O$3:$P$22,2),HLOOKUP(AB$50,СГИ!$Q$1:$AJ$2,2)))=1,CONCATENATE("при измерении ",$O64," ",AB$50," не допускается ! "),"")</f>
      </c>
      <c r="AC64" s="621">
        <f>IF(IF(ISNA(INDEX(СГИ!$Q$3:$AJ$22,VLOOKUP($O64,СГИ!$O$3:$P$22,2),HLOOKUP(AC$50,СГИ!$Q$1:$AJ$2,2))),"",INDEX(СГИ!$Q$3:$AJ$22,VLOOKUP($O64,СГИ!$O$3:$P$22,2),HLOOKUP(AC$50,СГИ!$Q$1:$AJ$2,2)))=1,CONCATENATE("при измерении ",$O64," ",AC$50," не допускается ! "),"")</f>
      </c>
      <c r="AD64" s="621">
        <f>IF(IF(ISNA(INDEX(СГИ!$Q$3:$AJ$22,VLOOKUP($O64,СГИ!$O$3:$P$22,2),HLOOKUP(AD$50,СГИ!$Q$1:$AJ$2,2))),"",INDEX(СГИ!$Q$3:$AJ$22,VLOOKUP($O64,СГИ!$O$3:$P$22,2),HLOOKUP(AD$50,СГИ!$Q$1:$AJ$2,2)))=1,CONCATENATE("при измерении ",$O64," ",AD$50," не допускается ! "),"")</f>
      </c>
      <c r="AE64" s="621">
        <f>IF(IF(ISNA(INDEX(СГИ!$Q$3:$AJ$22,VLOOKUP($O64,СГИ!$O$3:$P$22,2),HLOOKUP(AE$50,СГИ!$Q$1:$AJ$2,2))),"",INDEX(СГИ!$Q$3:$AJ$22,VLOOKUP($O64,СГИ!$O$3:$P$22,2),HLOOKUP(AE$50,СГИ!$Q$1:$AJ$2,2)))=1,CONCATENATE("при измерении ",$O64," ",AE$50," не допускается ! "),"")</f>
      </c>
      <c r="AF64" s="621">
        <f>IF(IF(ISNA(INDEX(СГИ!$Q$3:$AJ$22,VLOOKUP($O64,СГИ!$O$3:$P$22,2),HLOOKUP(AF$50,СГИ!$Q$1:$AJ$2,2))),"",INDEX(СГИ!$Q$3:$AJ$22,VLOOKUP($O64,СГИ!$O$3:$P$22,2),HLOOKUP(AF$50,СГИ!$Q$1:$AJ$2,2)))=1,CONCATENATE("при измерении ",$O64," ",AF$50," не допускается ! "),"")</f>
      </c>
      <c r="AG64" s="649">
        <f>IF(IF(ISNA(INDEX(СГИ!$Q$3:$AJ$22,VLOOKUP($O64,СГИ!$O$3:$P$22,2),HLOOKUP(AG$50,СГИ!$Q$1:$AJ$2,2))),"",INDEX(СГИ!$Q$3:$AJ$22,VLOOKUP($O64,СГИ!$O$3:$P$22,2),HLOOKUP(AG$50,СГИ!$Q$1:$AJ$2,2)))=1,CONCATENATE("при измерении ",$O64," ",AG$50," не допускается ! "),"")</f>
      </c>
      <c r="AH64" s="1">
        <f t="shared" si="1"/>
      </c>
    </row>
    <row r="65" spans="1:34" ht="33" customHeight="1" thickBot="1">
      <c r="A65" s="864" t="s">
        <v>701</v>
      </c>
      <c r="B65"/>
      <c r="C65" s="866" t="s">
        <v>725</v>
      </c>
      <c r="E65" s="865" t="s">
        <v>726</v>
      </c>
      <c r="G65" s="609">
        <f>IF('И11-Переносные с вын. БД'!L6=1,IF(SUM('И11-Переносные с вын. БД'!D14:D23)&lt;3,"",I61),"")</f>
      </c>
      <c r="H65" s="885" t="s">
        <v>734</v>
      </c>
      <c r="I65" s="1" t="s">
        <v>580</v>
      </c>
      <c r="J65" s="801">
        <f>IF('И11-Переносные с вын. БД'!D21&gt;0,ПГ!D21,"")</f>
      </c>
      <c r="K65" s="804"/>
      <c r="L65" s="787"/>
      <c r="M65" s="591"/>
      <c r="N65" s="595"/>
      <c r="O65" s="648">
        <f>MID('И11-Переносные с вын. БД'!I21,2,9)</f>
      </c>
      <c r="P65" s="621">
        <f>IF(IF(ISNA(INDEX(СГИ!$Q$3:$AJ$22,VLOOKUP($O65,СГИ!$O$3:$P$22,2),HLOOKUP(P$50,СГИ!$Q$1:$AJ$2,2))),"",INDEX(СГИ!$Q$3:$AJ$22,VLOOKUP($O65,СГИ!$O$3:$P$22,2),HLOOKUP(P$50,СГИ!$Q$1:$AJ$2,2)))=1,CONCATENATE("при измерении ",$O65," ",P$50," не допускается ! "),"")</f>
      </c>
      <c r="Q65" s="621">
        <f>IF(IF(ISNA(INDEX(СГИ!$Q$3:$AJ$22,VLOOKUP($O65,СГИ!$O$3:$P$22,2),HLOOKUP(Q$50,СГИ!$Q$1:$AJ$2,2))),"",INDEX(СГИ!$Q$3:$AJ$22,VLOOKUP($O65,СГИ!$O$3:$P$22,2),HLOOKUP(Q$50,СГИ!$Q$1:$AJ$2,2)))=1,CONCATENATE("при измерении ",$O65," ",Q$50," не допускается ! "),"")</f>
      </c>
      <c r="R65" s="621">
        <f>IF(IF(ISNA(INDEX(СГИ!$Q$3:$AJ$22,VLOOKUP($O65,СГИ!$O$3:$P$22,2),HLOOKUP(R$50,СГИ!$Q$1:$AJ$2,2))),"",INDEX(СГИ!$Q$3:$AJ$22,VLOOKUP($O65,СГИ!$O$3:$P$22,2),HLOOKUP(R$50,СГИ!$Q$1:$AJ$2,2)))=1,CONCATENATE("при измерении ",$O65," ",R$50," не допускается ! "),"")</f>
      </c>
      <c r="S65" s="621">
        <f>IF(IF(ISNA(INDEX(СГИ!$Q$3:$AJ$22,VLOOKUP($O65,СГИ!$O$3:$P$22,2),HLOOKUP(S$50,СГИ!$Q$1:$AJ$2,2))),"",INDEX(СГИ!$Q$3:$AJ$22,VLOOKUP($O65,СГИ!$O$3:$P$22,2),HLOOKUP(S$50,СГИ!$Q$1:$AJ$2,2)))=1,CONCATENATE("при измерении ",$O65," ",S$50," не допускается ! "),"")</f>
      </c>
      <c r="T65" s="621">
        <f>IF(IF(ISNA(INDEX(СГИ!$Q$3:$AJ$22,VLOOKUP($O65,СГИ!$O$3:$P$22,2),HLOOKUP(T$50,СГИ!$Q$1:$AJ$2,2))),"",INDEX(СГИ!$Q$3:$AJ$22,VLOOKUP($O65,СГИ!$O$3:$P$22,2),HLOOKUP(T$50,СГИ!$Q$1:$AJ$2,2)))=1,CONCATENATE("при измерении ",$O65," ",T$50," не допускается ! "),"")</f>
      </c>
      <c r="U65" s="621">
        <f>IF(IF(ISNA(INDEX(СГИ!$Q$3:$AJ$22,VLOOKUP($O65,СГИ!$O$3:$P$22,2),HLOOKUP(U$50,СГИ!$Q$1:$AJ$2,2))),"",INDEX(СГИ!$Q$3:$AJ$22,VLOOKUP($O65,СГИ!$O$3:$P$22,2),HLOOKUP(U$50,СГИ!$Q$1:$AJ$2,2)))=1,CONCATENATE("при измерении ",$O65," ",U$50," не допускается ! "),"")</f>
      </c>
      <c r="V65" s="621">
        <f>IF(IF(ISNA(INDEX(СГИ!$Q$3:$AJ$22,VLOOKUP($O65,СГИ!$O$3:$P$22,2),HLOOKUP(V$50,СГИ!$Q$1:$AJ$2,2))),"",INDEX(СГИ!$Q$3:$AJ$22,VLOOKUP($O65,СГИ!$O$3:$P$22,2),HLOOKUP(V$50,СГИ!$Q$1:$AJ$2,2)))=1,CONCATENATE("при измерении ",$O65," ",V$50," не допускается ! "),"")</f>
      </c>
      <c r="W65" s="621">
        <f>IF(IF(ISNA(INDEX(СГИ!$Q$3:$AJ$22,VLOOKUP($O65,СГИ!$O$3:$P$22,2),HLOOKUP(W$50,СГИ!$Q$1:$AJ$2,2))),"",INDEX(СГИ!$Q$3:$AJ$22,VLOOKUP($O65,СГИ!$O$3:$P$22,2),HLOOKUP(W$50,СГИ!$Q$1:$AJ$2,2)))=1,CONCATENATE("при измерении ",$O65," ",W$50," не допускается ! "),"")</f>
      </c>
      <c r="X65" s="621">
        <f>IF(IF(ISNA(INDEX(СГИ!$Q$3:$AJ$22,VLOOKUP($O65,СГИ!$O$3:$P$22,2),HLOOKUP(X$50,СГИ!$Q$1:$AJ$2,2))),"",INDEX(СГИ!$Q$3:$AJ$22,VLOOKUP($O65,СГИ!$O$3:$P$22,2),HLOOKUP(X$50,СГИ!$Q$1:$AJ$2,2)))=1,CONCATENATE("при измерении ",$O65," ",X$50," не допускается ! "),"")</f>
      </c>
      <c r="Y65" s="621">
        <f>IF(IF(ISNA(INDEX(СГИ!$Q$3:$AJ$22,VLOOKUP($O65,СГИ!$O$3:$P$22,2),HLOOKUP(Y$50,СГИ!$Q$1:$AJ$2,2))),"",INDEX(СГИ!$Q$3:$AJ$22,VLOOKUP($O65,СГИ!$O$3:$P$22,2),HLOOKUP(Y$50,СГИ!$Q$1:$AJ$2,2)))=1,CONCATENATE("при измерении ",$O65," ",Y$50," не допускается ! "),"")</f>
      </c>
      <c r="Z65" s="621">
        <f>IF(IF(ISNA(INDEX(СГИ!$Q$3:$AJ$22,VLOOKUP($O65,СГИ!$O$3:$P$22,2),HLOOKUP(Z$50,СГИ!$Q$1:$AJ$2,2))),"",INDEX(СГИ!$Q$3:$AJ$22,VLOOKUP($O65,СГИ!$O$3:$P$22,2),HLOOKUP(Z$50,СГИ!$Q$1:$AJ$2,2)))=1,CONCATENATE("при измерении ",$O65," ",Z$50," не допускается ! "),"")</f>
      </c>
      <c r="AA65" s="621">
        <f>IF(IF(ISNA(INDEX(СГИ!$Q$3:$AJ$22,VLOOKUP($O65,СГИ!$O$3:$P$22,2),HLOOKUP(AA$50,СГИ!$Q$1:$AJ$2,2))),"",INDEX(СГИ!$Q$3:$AJ$22,VLOOKUP($O65,СГИ!$O$3:$P$22,2),HLOOKUP(AA$50,СГИ!$Q$1:$AJ$2,2)))=1,CONCATENATE("при измерении ",$O65," ",AA$50," не допускается ! "),"")</f>
      </c>
      <c r="AB65" s="621">
        <f>IF(IF(ISNA(INDEX(СГИ!$Q$3:$AJ$22,VLOOKUP($O65,СГИ!$O$3:$P$22,2),HLOOKUP(AB$50,СГИ!$Q$1:$AJ$2,2))),"",INDEX(СГИ!$Q$3:$AJ$22,VLOOKUP($O65,СГИ!$O$3:$P$22,2),HLOOKUP(AB$50,СГИ!$Q$1:$AJ$2,2)))=1,CONCATENATE("при измерении ",$O65," ",AB$50," не допускается ! "),"")</f>
      </c>
      <c r="AC65" s="621">
        <f>IF(IF(ISNA(INDEX(СГИ!$Q$3:$AJ$22,VLOOKUP($O65,СГИ!$O$3:$P$22,2),HLOOKUP(AC$50,СГИ!$Q$1:$AJ$2,2))),"",INDEX(СГИ!$Q$3:$AJ$22,VLOOKUP($O65,СГИ!$O$3:$P$22,2),HLOOKUP(AC$50,СГИ!$Q$1:$AJ$2,2)))=1,CONCATENATE("при измерении ",$O65," ",AC$50," не допускается ! "),"")</f>
      </c>
      <c r="AD65" s="621">
        <f>IF(IF(ISNA(INDEX(СГИ!$Q$3:$AJ$22,VLOOKUP($O65,СГИ!$O$3:$P$22,2),HLOOKUP(AD$50,СГИ!$Q$1:$AJ$2,2))),"",INDEX(СГИ!$Q$3:$AJ$22,VLOOKUP($O65,СГИ!$O$3:$P$22,2),HLOOKUP(AD$50,СГИ!$Q$1:$AJ$2,2)))=1,CONCATENATE("при измерении ",$O65," ",AD$50," не допускается ! "),"")</f>
      </c>
      <c r="AE65" s="621">
        <f>IF(IF(ISNA(INDEX(СГИ!$Q$3:$AJ$22,VLOOKUP($O65,СГИ!$O$3:$P$22,2),HLOOKUP(AE$50,СГИ!$Q$1:$AJ$2,2))),"",INDEX(СГИ!$Q$3:$AJ$22,VLOOKUP($O65,СГИ!$O$3:$P$22,2),HLOOKUP(AE$50,СГИ!$Q$1:$AJ$2,2)))=1,CONCATENATE("при измерении ",$O65," ",AE$50," не допускается ! "),"")</f>
      </c>
      <c r="AF65" s="621">
        <f>IF(IF(ISNA(INDEX(СГИ!$Q$3:$AJ$22,VLOOKUP($O65,СГИ!$O$3:$P$22,2),HLOOKUP(AF$50,СГИ!$Q$1:$AJ$2,2))),"",INDEX(СГИ!$Q$3:$AJ$22,VLOOKUP($O65,СГИ!$O$3:$P$22,2),HLOOKUP(AF$50,СГИ!$Q$1:$AJ$2,2)))=1,CONCATENATE("при измерении ",$O65," ",AF$50," не допускается ! "),"")</f>
      </c>
      <c r="AG65" s="649">
        <f>IF(IF(ISNA(INDEX(СГИ!$Q$3:$AJ$22,VLOOKUP($O65,СГИ!$O$3:$P$22,2),HLOOKUP(AG$50,СГИ!$Q$1:$AJ$2,2))),"",INDEX(СГИ!$Q$3:$AJ$22,VLOOKUP($O65,СГИ!$O$3:$P$22,2),HLOOKUP(AG$50,СГИ!$Q$1:$AJ$2,2)))=1,CONCATENATE("при измерении ",$O65," ",AG$50," не допускается ! "),"")</f>
      </c>
      <c r="AH65" s="1">
        <f t="shared" si="1"/>
      </c>
    </row>
    <row r="66" spans="1:34" ht="33" customHeight="1" thickBot="1">
      <c r="A66" s="512" t="str">
        <f>AJ47</f>
        <v>-И11</v>
      </c>
      <c r="B66" s="875" t="s">
        <v>681</v>
      </c>
      <c r="C66" s="609" t="str">
        <f>IF(E66="",C68,E66)</f>
        <v>ЦЕНЫ без взрывозащиты</v>
      </c>
      <c r="E66" s="609">
        <f>IF(E68="",IF(E69="",IF(E70="","",E70),E69),E68)</f>
      </c>
      <c r="G66" s="609">
        <f>IF(AND('И11-Переносные с вын. БД'!L6=1,'И11-Переносные с вын. БД'!J26&gt;4),$I$52,"")</f>
      </c>
      <c r="H66" s="885" t="s">
        <v>744</v>
      </c>
      <c r="I66" s="1" t="s">
        <v>582</v>
      </c>
      <c r="J66" s="801">
        <f>IF('И11-Переносные с вын. БД'!D22&gt;0,ПГ!D22,"")</f>
      </c>
      <c r="K66" s="804"/>
      <c r="L66" s="787"/>
      <c r="M66" s="591"/>
      <c r="N66" s="595"/>
      <c r="O66" s="648">
        <f>MID('И11-Переносные с вын. БД'!I22,2,9)</f>
      </c>
      <c r="P66" s="621">
        <f>IF(IF(ISNA(INDEX(СГИ!$Q$3:$AJ$22,VLOOKUP($O66,СГИ!$O$3:$P$22,2),HLOOKUP(P$50,СГИ!$Q$1:$AJ$2,2))),"",INDEX(СГИ!$Q$3:$AJ$22,VLOOKUP($O66,СГИ!$O$3:$P$22,2),HLOOKUP(P$50,СГИ!$Q$1:$AJ$2,2)))=1,CONCATENATE("при измерении ",$O66," ",P$50," не допускается ! "),"")</f>
      </c>
      <c r="Q66" s="621">
        <f>IF(IF(ISNA(INDEX(СГИ!$Q$3:$AJ$22,VLOOKUP($O66,СГИ!$O$3:$P$22,2),HLOOKUP(Q$50,СГИ!$Q$1:$AJ$2,2))),"",INDEX(СГИ!$Q$3:$AJ$22,VLOOKUP($O66,СГИ!$O$3:$P$22,2),HLOOKUP(Q$50,СГИ!$Q$1:$AJ$2,2)))=1,CONCATENATE("при измерении ",$O66," ",Q$50," не допускается ! "),"")</f>
      </c>
      <c r="R66" s="621">
        <f>IF(IF(ISNA(INDEX(СГИ!$Q$3:$AJ$22,VLOOKUP($O66,СГИ!$O$3:$P$22,2),HLOOKUP(R$50,СГИ!$Q$1:$AJ$2,2))),"",INDEX(СГИ!$Q$3:$AJ$22,VLOOKUP($O66,СГИ!$O$3:$P$22,2),HLOOKUP(R$50,СГИ!$Q$1:$AJ$2,2)))=1,CONCATENATE("при измерении ",$O66," ",R$50," не допускается ! "),"")</f>
      </c>
      <c r="S66" s="621">
        <f>IF(IF(ISNA(INDEX(СГИ!$Q$3:$AJ$22,VLOOKUP($O66,СГИ!$O$3:$P$22,2),HLOOKUP(S$50,СГИ!$Q$1:$AJ$2,2))),"",INDEX(СГИ!$Q$3:$AJ$22,VLOOKUP($O66,СГИ!$O$3:$P$22,2),HLOOKUP(S$50,СГИ!$Q$1:$AJ$2,2)))=1,CONCATENATE("при измерении ",$O66," ",S$50," не допускается ! "),"")</f>
      </c>
      <c r="T66" s="621">
        <f>IF(IF(ISNA(INDEX(СГИ!$Q$3:$AJ$22,VLOOKUP($O66,СГИ!$O$3:$P$22,2),HLOOKUP(T$50,СГИ!$Q$1:$AJ$2,2))),"",INDEX(СГИ!$Q$3:$AJ$22,VLOOKUP($O66,СГИ!$O$3:$P$22,2),HLOOKUP(T$50,СГИ!$Q$1:$AJ$2,2)))=1,CONCATENATE("при измерении ",$O66," ",T$50," не допускается ! "),"")</f>
      </c>
      <c r="U66" s="621">
        <f>IF(IF(ISNA(INDEX(СГИ!$Q$3:$AJ$22,VLOOKUP($O66,СГИ!$O$3:$P$22,2),HLOOKUP(U$50,СГИ!$Q$1:$AJ$2,2))),"",INDEX(СГИ!$Q$3:$AJ$22,VLOOKUP($O66,СГИ!$O$3:$P$22,2),HLOOKUP(U$50,СГИ!$Q$1:$AJ$2,2)))=1,CONCATENATE("при измерении ",$O66," ",U$50," не допускается ! "),"")</f>
      </c>
      <c r="V66" s="621">
        <f>IF(IF(ISNA(INDEX(СГИ!$Q$3:$AJ$22,VLOOKUP($O66,СГИ!$O$3:$P$22,2),HLOOKUP(V$50,СГИ!$Q$1:$AJ$2,2))),"",INDEX(СГИ!$Q$3:$AJ$22,VLOOKUP($O66,СГИ!$O$3:$P$22,2),HLOOKUP(V$50,СГИ!$Q$1:$AJ$2,2)))=1,CONCATENATE("при измерении ",$O66," ",V$50," не допускается ! "),"")</f>
      </c>
      <c r="W66" s="621">
        <f>IF(IF(ISNA(INDEX(СГИ!$Q$3:$AJ$22,VLOOKUP($O66,СГИ!$O$3:$P$22,2),HLOOKUP(W$50,СГИ!$Q$1:$AJ$2,2))),"",INDEX(СГИ!$Q$3:$AJ$22,VLOOKUP($O66,СГИ!$O$3:$P$22,2),HLOOKUP(W$50,СГИ!$Q$1:$AJ$2,2)))=1,CONCATENATE("при измерении ",$O66," ",W$50," не допускается ! "),"")</f>
      </c>
      <c r="X66" s="621">
        <f>IF(IF(ISNA(INDEX(СГИ!$Q$3:$AJ$22,VLOOKUP($O66,СГИ!$O$3:$P$22,2),HLOOKUP(X$50,СГИ!$Q$1:$AJ$2,2))),"",INDEX(СГИ!$Q$3:$AJ$22,VLOOKUP($O66,СГИ!$O$3:$P$22,2),HLOOKUP(X$50,СГИ!$Q$1:$AJ$2,2)))=1,CONCATENATE("при измерении ",$O66," ",X$50," не допускается ! "),"")</f>
      </c>
      <c r="Y66" s="621">
        <f>IF(IF(ISNA(INDEX(СГИ!$Q$3:$AJ$22,VLOOKUP($O66,СГИ!$O$3:$P$22,2),HLOOKUP(Y$50,СГИ!$Q$1:$AJ$2,2))),"",INDEX(СГИ!$Q$3:$AJ$22,VLOOKUP($O66,СГИ!$O$3:$P$22,2),HLOOKUP(Y$50,СГИ!$Q$1:$AJ$2,2)))=1,CONCATENATE("при измерении ",$O66," ",Y$50," не допускается ! "),"")</f>
      </c>
      <c r="Z66" s="621">
        <f>IF(IF(ISNA(INDEX(СГИ!$Q$3:$AJ$22,VLOOKUP($O66,СГИ!$O$3:$P$22,2),HLOOKUP(Z$50,СГИ!$Q$1:$AJ$2,2))),"",INDEX(СГИ!$Q$3:$AJ$22,VLOOKUP($O66,СГИ!$O$3:$P$22,2),HLOOKUP(Z$50,СГИ!$Q$1:$AJ$2,2)))=1,CONCATENATE("при измерении ",$O66," ",Z$50," не допускается ! "),"")</f>
      </c>
      <c r="AA66" s="621">
        <f>IF(IF(ISNA(INDEX(СГИ!$Q$3:$AJ$22,VLOOKUP($O66,СГИ!$O$3:$P$22,2),HLOOKUP(AA$50,СГИ!$Q$1:$AJ$2,2))),"",INDEX(СГИ!$Q$3:$AJ$22,VLOOKUP($O66,СГИ!$O$3:$P$22,2),HLOOKUP(AA$50,СГИ!$Q$1:$AJ$2,2)))=1,CONCATENATE("при измерении ",$O66," ",AA$50," не допускается ! "),"")</f>
      </c>
      <c r="AB66" s="621">
        <f>IF(IF(ISNA(INDEX(СГИ!$Q$3:$AJ$22,VLOOKUP($O66,СГИ!$O$3:$P$22,2),HLOOKUP(AB$50,СГИ!$Q$1:$AJ$2,2))),"",INDEX(СГИ!$Q$3:$AJ$22,VLOOKUP($O66,СГИ!$O$3:$P$22,2),HLOOKUP(AB$50,СГИ!$Q$1:$AJ$2,2)))=1,CONCATENATE("при измерении ",$O66," ",AB$50," не допускается ! "),"")</f>
      </c>
      <c r="AC66" s="621">
        <f>IF(IF(ISNA(INDEX(СГИ!$Q$3:$AJ$22,VLOOKUP($O66,СГИ!$O$3:$P$22,2),HLOOKUP(AC$50,СГИ!$Q$1:$AJ$2,2))),"",INDEX(СГИ!$Q$3:$AJ$22,VLOOKUP($O66,СГИ!$O$3:$P$22,2),HLOOKUP(AC$50,СГИ!$Q$1:$AJ$2,2)))=1,CONCATENATE("при измерении ",$O66," ",AC$50," не допускается ! "),"")</f>
      </c>
      <c r="AD66" s="621">
        <f>IF(IF(ISNA(INDEX(СГИ!$Q$3:$AJ$22,VLOOKUP($O66,СГИ!$O$3:$P$22,2),HLOOKUP(AD$50,СГИ!$Q$1:$AJ$2,2))),"",INDEX(СГИ!$Q$3:$AJ$22,VLOOKUP($O66,СГИ!$O$3:$P$22,2),HLOOKUP(AD$50,СГИ!$Q$1:$AJ$2,2)))=1,CONCATENATE("при измерении ",$O66," ",AD$50," не допускается ! "),"")</f>
      </c>
      <c r="AE66" s="621">
        <f>IF(IF(ISNA(INDEX(СГИ!$Q$3:$AJ$22,VLOOKUP($O66,СГИ!$O$3:$P$22,2),HLOOKUP(AE$50,СГИ!$Q$1:$AJ$2,2))),"",INDEX(СГИ!$Q$3:$AJ$22,VLOOKUP($O66,СГИ!$O$3:$P$22,2),HLOOKUP(AE$50,СГИ!$Q$1:$AJ$2,2)))=1,CONCATENATE("при измерении ",$O66," ",AE$50," не допускается ! "),"")</f>
      </c>
      <c r="AF66" s="621">
        <f>IF(IF(ISNA(INDEX(СГИ!$Q$3:$AJ$22,VLOOKUP($O66,СГИ!$O$3:$P$22,2),HLOOKUP(AF$50,СГИ!$Q$1:$AJ$2,2))),"",INDEX(СГИ!$Q$3:$AJ$22,VLOOKUP($O66,СГИ!$O$3:$P$22,2),HLOOKUP(AF$50,СГИ!$Q$1:$AJ$2,2)))=1,CONCATENATE("при измерении ",$O66," ",AF$50," не допускается ! "),"")</f>
      </c>
      <c r="AG66" s="649">
        <f>IF(IF(ISNA(INDEX(СГИ!$Q$3:$AJ$22,VLOOKUP($O66,СГИ!$O$3:$P$22,2),HLOOKUP(AG$50,СГИ!$Q$1:$AJ$2,2))),"",INDEX(СГИ!$Q$3:$AJ$22,VLOOKUP($O66,СГИ!$O$3:$P$22,2),HLOOKUP(AG$50,СГИ!$Q$1:$AJ$2,2)))=1,CONCATENATE("при измерении ",$O66," ",AG$50," не допускается ! "),"")</f>
      </c>
      <c r="AH66" s="1">
        <f t="shared" si="1"/>
      </c>
    </row>
    <row r="67" spans="1:34" ht="33" customHeight="1" thickBot="1">
      <c r="A67" s="929">
        <f>IF('И11-Переносные с вын. БД'!L7="",AJ48,'И11-Переносные с вын. БД'!L7)</f>
        <v>6</v>
      </c>
      <c r="B67" s="876" t="s">
        <v>735</v>
      </c>
      <c r="C67" s="570" t="s">
        <v>730</v>
      </c>
      <c r="E67" s="570" t="s">
        <v>727</v>
      </c>
      <c r="I67" s="1" t="s">
        <v>583</v>
      </c>
      <c r="J67" s="802">
        <f>IF('И11-Переносные с вын. БД'!D23&gt;0,ПГ!D23,"")</f>
      </c>
      <c r="K67" s="805"/>
      <c r="L67" s="809"/>
      <c r="M67" s="198"/>
      <c r="N67" s="595"/>
      <c r="O67" s="652">
        <f>MID('И11-Переносные с вын. БД'!I23,2,9)</f>
      </c>
      <c r="P67" s="653">
        <f>IF(IF(ISNA(INDEX(СГИ!$Q$3:$AJ$22,VLOOKUP($O67,СГИ!$O$3:$P$22,2),HLOOKUP(P$50,СГИ!$Q$1:$AJ$2,2))),"",INDEX(СГИ!$Q$3:$AJ$22,VLOOKUP($O67,СГИ!$O$3:$P$22,2),HLOOKUP(P$50,СГИ!$Q$1:$AJ$2,2)))=1,CONCATENATE("при измерении ",$O67," ",P$50," не допускается ! "),"")</f>
      </c>
      <c r="Q67" s="653">
        <f>IF(IF(ISNA(INDEX(СГИ!$Q$3:$AJ$22,VLOOKUP($O67,СГИ!$O$3:$P$22,2),HLOOKUP(Q$50,СГИ!$Q$1:$AJ$2,2))),"",INDEX(СГИ!$Q$3:$AJ$22,VLOOKUP($O67,СГИ!$O$3:$P$22,2),HLOOKUP(Q$50,СГИ!$Q$1:$AJ$2,2)))=1,CONCATENATE("при измерении ",$O67," ",Q$50," не допускается ! "),"")</f>
      </c>
      <c r="R67" s="653">
        <f>IF(IF(ISNA(INDEX(СГИ!$Q$3:$AJ$22,VLOOKUP($O67,СГИ!$O$3:$P$22,2),HLOOKUP(R$50,СГИ!$Q$1:$AJ$2,2))),"",INDEX(СГИ!$Q$3:$AJ$22,VLOOKUP($O67,СГИ!$O$3:$P$22,2),HLOOKUP(R$50,СГИ!$Q$1:$AJ$2,2)))=1,CONCATENATE("при измерении ",$O67," ",R$50," не допускается ! "),"")</f>
      </c>
      <c r="S67" s="653">
        <f>IF(IF(ISNA(INDEX(СГИ!$Q$3:$AJ$22,VLOOKUP($O67,СГИ!$O$3:$P$22,2),HLOOKUP(S$50,СГИ!$Q$1:$AJ$2,2))),"",INDEX(СГИ!$Q$3:$AJ$22,VLOOKUP($O67,СГИ!$O$3:$P$22,2),HLOOKUP(S$50,СГИ!$Q$1:$AJ$2,2)))=1,CONCATENATE("при измерении ",$O67," ",S$50," не допускается ! "),"")</f>
      </c>
      <c r="T67" s="653">
        <f>IF(IF(ISNA(INDEX(СГИ!$Q$3:$AJ$22,VLOOKUP($O67,СГИ!$O$3:$P$22,2),HLOOKUP(T$50,СГИ!$Q$1:$AJ$2,2))),"",INDEX(СГИ!$Q$3:$AJ$22,VLOOKUP($O67,СГИ!$O$3:$P$22,2),HLOOKUP(T$50,СГИ!$Q$1:$AJ$2,2)))=1,CONCATENATE("при измерении ",$O67," ",T$50," не допускается ! "),"")</f>
      </c>
      <c r="U67" s="653">
        <f>IF(IF(ISNA(INDEX(СГИ!$Q$3:$AJ$22,VLOOKUP($O67,СГИ!$O$3:$P$22,2),HLOOKUP(U$50,СГИ!$Q$1:$AJ$2,2))),"",INDEX(СГИ!$Q$3:$AJ$22,VLOOKUP($O67,СГИ!$O$3:$P$22,2),HLOOKUP(U$50,СГИ!$Q$1:$AJ$2,2)))=1,CONCATENATE("при измерении ",$O67," ",U$50," не допускается ! "),"")</f>
      </c>
      <c r="V67" s="653">
        <f>IF(IF(ISNA(INDEX(СГИ!$Q$3:$AJ$22,VLOOKUP($O67,СГИ!$O$3:$P$22,2),HLOOKUP(V$50,СГИ!$Q$1:$AJ$2,2))),"",INDEX(СГИ!$Q$3:$AJ$22,VLOOKUP($O67,СГИ!$O$3:$P$22,2),HLOOKUP(V$50,СГИ!$Q$1:$AJ$2,2)))=1,CONCATENATE("при измерении ",$O67," ",V$50," не допускается ! "),"")</f>
      </c>
      <c r="W67" s="653">
        <f>IF(IF(ISNA(INDEX(СГИ!$Q$3:$AJ$22,VLOOKUP($O67,СГИ!$O$3:$P$22,2),HLOOKUP(W$50,СГИ!$Q$1:$AJ$2,2))),"",INDEX(СГИ!$Q$3:$AJ$22,VLOOKUP($O67,СГИ!$O$3:$P$22,2),HLOOKUP(W$50,СГИ!$Q$1:$AJ$2,2)))=1,CONCATENATE("при измерении ",$O67," ",W$50," не допускается ! "),"")</f>
      </c>
      <c r="X67" s="653">
        <f>IF(IF(ISNA(INDEX(СГИ!$Q$3:$AJ$22,VLOOKUP($O67,СГИ!$O$3:$P$22,2),HLOOKUP(X$50,СГИ!$Q$1:$AJ$2,2))),"",INDEX(СГИ!$Q$3:$AJ$22,VLOOKUP($O67,СГИ!$O$3:$P$22,2),HLOOKUP(X$50,СГИ!$Q$1:$AJ$2,2)))=1,CONCATENATE("при измерении ",$O67," ",X$50," не допускается ! "),"")</f>
      </c>
      <c r="Y67" s="653">
        <f>IF(IF(ISNA(INDEX(СГИ!$Q$3:$AJ$22,VLOOKUP($O67,СГИ!$O$3:$P$22,2),HLOOKUP(Y$50,СГИ!$Q$1:$AJ$2,2))),"",INDEX(СГИ!$Q$3:$AJ$22,VLOOKUP($O67,СГИ!$O$3:$P$22,2),HLOOKUP(Y$50,СГИ!$Q$1:$AJ$2,2)))=1,CONCATENATE("при измерении ",$O67," ",Y$50," не допускается ! "),"")</f>
      </c>
      <c r="Z67" s="653">
        <f>IF(IF(ISNA(INDEX(СГИ!$Q$3:$AJ$22,VLOOKUP($O67,СГИ!$O$3:$P$22,2),HLOOKUP(Z$50,СГИ!$Q$1:$AJ$2,2))),"",INDEX(СГИ!$Q$3:$AJ$22,VLOOKUP($O67,СГИ!$O$3:$P$22,2),HLOOKUP(Z$50,СГИ!$Q$1:$AJ$2,2)))=1,CONCATENATE("при измерении ",$O67," ",Z$50," не допускается ! "),"")</f>
      </c>
      <c r="AA67" s="653">
        <f>IF(IF(ISNA(INDEX(СГИ!$Q$3:$AJ$22,VLOOKUP($O67,СГИ!$O$3:$P$22,2),HLOOKUP(AA$50,СГИ!$Q$1:$AJ$2,2))),"",INDEX(СГИ!$Q$3:$AJ$22,VLOOKUP($O67,СГИ!$O$3:$P$22,2),HLOOKUP(AA$50,СГИ!$Q$1:$AJ$2,2)))=1,CONCATENATE("при измерении ",$O67," ",AA$50," не допускается ! "),"")</f>
      </c>
      <c r="AB67" s="653">
        <f>IF(IF(ISNA(INDEX(СГИ!$Q$3:$AJ$22,VLOOKUP($O67,СГИ!$O$3:$P$22,2),HLOOKUP(AB$50,СГИ!$Q$1:$AJ$2,2))),"",INDEX(СГИ!$Q$3:$AJ$22,VLOOKUP($O67,СГИ!$O$3:$P$22,2),HLOOKUP(AB$50,СГИ!$Q$1:$AJ$2,2)))=1,CONCATENATE("при измерении ",$O67," ",AB$50," не допускается ! "),"")</f>
      </c>
      <c r="AC67" s="653">
        <f>IF(IF(ISNA(INDEX(СГИ!$Q$3:$AJ$22,VLOOKUP($O67,СГИ!$O$3:$P$22,2),HLOOKUP(AC$50,СГИ!$Q$1:$AJ$2,2))),"",INDEX(СГИ!$Q$3:$AJ$22,VLOOKUP($O67,СГИ!$O$3:$P$22,2),HLOOKUP(AC$50,СГИ!$Q$1:$AJ$2,2)))=1,CONCATENATE("при измерении ",$O67," ",AC$50," не допускается ! "),"")</f>
      </c>
      <c r="AD67" s="653">
        <f>IF(IF(ISNA(INDEX(СГИ!$Q$3:$AJ$22,VLOOKUP($O67,СГИ!$O$3:$P$22,2),HLOOKUP(AD$50,СГИ!$Q$1:$AJ$2,2))),"",INDEX(СГИ!$Q$3:$AJ$22,VLOOKUP($O67,СГИ!$O$3:$P$22,2),HLOOKUP(AD$50,СГИ!$Q$1:$AJ$2,2)))=1,CONCATENATE("при измерении ",$O67," ",AD$50," не допускается ! "),"")</f>
      </c>
      <c r="AE67" s="653">
        <f>IF(IF(ISNA(INDEX(СГИ!$Q$3:$AJ$22,VLOOKUP($O67,СГИ!$O$3:$P$22,2),HLOOKUP(AE$50,СГИ!$Q$1:$AJ$2,2))),"",INDEX(СГИ!$Q$3:$AJ$22,VLOOKUP($O67,СГИ!$O$3:$P$22,2),HLOOKUP(AE$50,СГИ!$Q$1:$AJ$2,2)))=1,CONCATENATE("при измерении ",$O67," ",AE$50," не допускается ! "),"")</f>
      </c>
      <c r="AF67" s="653">
        <f>IF(IF(ISNA(INDEX(СГИ!$Q$3:$AJ$22,VLOOKUP($O67,СГИ!$O$3:$P$22,2),HLOOKUP(AF$50,СГИ!$Q$1:$AJ$2,2))),"",INDEX(СГИ!$Q$3:$AJ$22,VLOOKUP($O67,СГИ!$O$3:$P$22,2),HLOOKUP(AF$50,СГИ!$Q$1:$AJ$2,2)))=1,CONCATENATE("при измерении ",$O67," ",AF$50," не допускается ! "),"")</f>
      </c>
      <c r="AG67" s="654">
        <f>IF(IF(ISNA(INDEX(СГИ!$Q$3:$AJ$22,VLOOKUP($O67,СГИ!$O$3:$P$22,2),HLOOKUP(AG$50,СГИ!$Q$1:$AJ$2,2))),"",INDEX(СГИ!$Q$3:$AJ$22,VLOOKUP($O67,СГИ!$O$3:$P$22,2),HLOOKUP(AG$50,СГИ!$Q$1:$AJ$2,2)))=1,CONCATENATE("при измерении ",$O67," ",AG$50," не допускается ! "),"")</f>
      </c>
      <c r="AH67" s="1">
        <f t="shared" si="1"/>
      </c>
    </row>
    <row r="68" spans="1:35" ht="33" customHeight="1" thickBot="1">
      <c r="A68" s="513" t="str">
        <f>IF('И11-Переносные с вын. БД'!L6=1,AJ50,AJ49)</f>
        <v>-/53</v>
      </c>
      <c r="B68" s="876" t="s">
        <v>683</v>
      </c>
      <c r="C68" s="609" t="str">
        <f>IF('И11-Переносные с вын. БД'!L$6=1,I$67,I$66)</f>
        <v>ЦЕНЫ без взрывозащиты</v>
      </c>
      <c r="E68" s="609">
        <f>IF('И11-Переносные с вын. БД'!$H$6=$I$55,$I$65,"")</f>
      </c>
      <c r="F68" s="1" t="s">
        <v>581</v>
      </c>
      <c r="K68" s="805" t="s">
        <v>593</v>
      </c>
      <c r="L68" s="806">
        <f>SUM(L51:L67)</f>
        <v>0</v>
      </c>
      <c r="M68" s="591"/>
      <c r="N68" s="79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33" customHeight="1" thickBot="1">
      <c r="A69" s="513" t="str">
        <f>AJ51</f>
        <v>/50</v>
      </c>
      <c r="B69" s="876" t="s">
        <v>684</v>
      </c>
      <c r="C69" s="570"/>
      <c r="E69" s="609">
        <f>IF($E$58=$I$60,$I$65,"")</f>
      </c>
      <c r="F69" s="1" t="s">
        <v>575</v>
      </c>
      <c r="K69" s="639" t="s">
        <v>588</v>
      </c>
      <c r="L69" s="803">
        <v>330</v>
      </c>
      <c r="M69" s="796"/>
      <c r="N69" s="79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33" customHeight="1" thickBot="1">
      <c r="A70" s="513" t="str">
        <f>AJ52</f>
        <v>-Д2</v>
      </c>
      <c r="B70" s="876" t="s">
        <v>764</v>
      </c>
      <c r="C70" s="570"/>
      <c r="E70" s="609">
        <f>IF('И11-Переносные с вын. БД'!$H$8=$I$55,$I$65,"")</f>
      </c>
      <c r="F70" s="1" t="s">
        <v>584</v>
      </c>
      <c r="K70" s="639" t="s">
        <v>589</v>
      </c>
      <c r="L70" s="642">
        <v>1100</v>
      </c>
      <c r="M70" s="798"/>
      <c r="N70" s="79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33" customHeight="1" thickBot="1">
      <c r="A71" s="513" t="str">
        <f>AJ53</f>
        <v>Т0</v>
      </c>
      <c r="B71" s="876" t="s">
        <v>758</v>
      </c>
      <c r="C71" s="570"/>
      <c r="I71" s="517"/>
      <c r="K71" s="640" t="s">
        <v>590</v>
      </c>
      <c r="L71" s="643">
        <v>-3000</v>
      </c>
      <c r="M71" s="796"/>
      <c r="N71" s="79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33" customHeight="1">
      <c r="A72" s="513" t="str">
        <f>AJ54</f>
        <v>Ц0</v>
      </c>
      <c r="B72" s="876" t="s">
        <v>757</v>
      </c>
      <c r="C72" s="57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" ht="33" customHeight="1">
      <c r="A73" s="513" t="s">
        <v>756</v>
      </c>
      <c r="B73" s="876" t="s">
        <v>761</v>
      </c>
      <c r="C73" s="570"/>
    </row>
    <row r="74" spans="1:8" ht="33" customHeight="1">
      <c r="A74" s="874" t="str">
        <f>AJ61</f>
        <v>-=A5</v>
      </c>
      <c r="B74" s="876" t="s">
        <v>687</v>
      </c>
      <c r="C74" s="570"/>
      <c r="H74" s="887"/>
    </row>
    <row r="75" spans="1:3" ht="33" customHeight="1" thickBot="1">
      <c r="A75" s="514">
        <f>IF('И11-Переносные с вын. БД'!H8=I56,"-Ex","")</f>
      </c>
      <c r="B75" s="876" t="s">
        <v>688</v>
      </c>
      <c r="C75" s="570"/>
    </row>
    <row r="76" spans="1:3" ht="33" customHeight="1" thickBot="1">
      <c r="A76" s="570" t="s">
        <v>700</v>
      </c>
      <c r="C76" s="570"/>
    </row>
    <row r="77" spans="1:9" ht="33" customHeight="1">
      <c r="A77" s="506">
        <f>IF('И11-Переносные с вын. БД'!J7&gt;0,"92","")</f>
      </c>
      <c r="B77" s="864" t="s">
        <v>736</v>
      </c>
      <c r="I77" s="517"/>
    </row>
    <row r="78" spans="1:2" ht="33" customHeight="1">
      <c r="A78" s="507">
        <f>IF(AND('И11-Переносные с вын. БД'!J24+'И11-Переносные с вын. БД'!J12&gt;0,'И11-Переносные с вын. БД'!J24+'И11-Переносные с вын. БД'!J12&lt;6),"М","")</f>
      </c>
      <c r="B78" s="864" t="s">
        <v>690</v>
      </c>
    </row>
    <row r="79" spans="1:2" ht="33" customHeight="1" thickBot="1">
      <c r="A79" s="915">
        <f>IF('И11-Переносные с вын. БД'!J25&gt;0,IF('И11-Переносные с вын. БД'!J22+'И11-Переносные с вын. БД'!J23&gt;0,"","Т"),"")</f>
      </c>
      <c r="B79" s="864" t="s">
        <v>689</v>
      </c>
    </row>
    <row r="80" spans="1:2" ht="33" customHeight="1">
      <c r="A80" s="872">
        <f>IF(AND('И11-Переносные с вын. БД'!J26='И11-Переносные с вын. БД'!J7,'И11-Переносные с вын. БД'!J26&lt;2),"",'И11-Переносные с вын. БД'!I7)</f>
      </c>
      <c r="B80" s="864" t="s">
        <v>737</v>
      </c>
    </row>
    <row r="81" spans="1:2" ht="33" customHeight="1">
      <c r="A81" s="872" t="str">
        <f>IF('И11-Переносные с вын. БД'!J26='И11-Переносные с вын. БД'!J8,"-H2",'И11-Переносные с вын. БД'!I8)</f>
        <v>-H2</v>
      </c>
      <c r="B81" s="864" t="s">
        <v>738</v>
      </c>
    </row>
    <row r="82" spans="1:2" ht="33" customHeight="1">
      <c r="A82" s="872" t="str">
        <f>IF('И11-Переносные с вын. БД'!J26='И11-Переносные с вын. БД'!J9,"-CH4",'И11-Переносные с вын. БД'!I9)</f>
        <v>-CH4</v>
      </c>
      <c r="B82" s="864" t="s">
        <v>739</v>
      </c>
    </row>
    <row r="83" spans="1:8" ht="33" customHeight="1">
      <c r="A83" s="872" t="str">
        <f>IF('И11-Переносные с вын. БД'!J26='И11-Переносные с вын. БД'!J10,"-C3H8",'И11-Переносные с вын. БД'!I10)</f>
        <v>-C3H8</v>
      </c>
      <c r="B83" s="864" t="s">
        <v>740</v>
      </c>
      <c r="H83" s="887"/>
    </row>
    <row r="84" spans="1:53" s="917" customFormat="1" ht="33" customHeight="1">
      <c r="A84" s="872" t="str">
        <f>IF('И11-Переносные с вын. БД'!J26='И11-Переносные с вын. БД'!J11,"-C6H14",'И11-Переносные с вын. БД'!I11)</f>
        <v>-C6H14</v>
      </c>
      <c r="B84" s="864" t="s">
        <v>741</v>
      </c>
      <c r="H84" s="918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8" s="917" customFormat="1" ht="33" customHeight="1" thickBot="1">
      <c r="A85" s="873" t="str">
        <f>IF('И11-Переносные с вын. БД'!J26='И11-Переносные с вын. БД'!J12,"-CH4",'И11-Переносные с вын. БД'!I12)</f>
        <v>-CH4</v>
      </c>
      <c r="B85" s="864" t="s">
        <v>742</v>
      </c>
      <c r="H85" s="918"/>
    </row>
    <row r="86" s="917" customFormat="1" ht="33" customHeight="1">
      <c r="H86" s="918"/>
    </row>
    <row r="87" s="917" customFormat="1" ht="33" customHeight="1">
      <c r="H87" s="918"/>
    </row>
    <row r="88" spans="1:8" s="917" customFormat="1" ht="33" customHeight="1">
      <c r="A88" s="574"/>
      <c r="H88" s="918"/>
    </row>
    <row r="89" spans="4:9" s="917" customFormat="1" ht="33" customHeight="1">
      <c r="D89" s="574"/>
      <c r="I89" s="918"/>
    </row>
    <row r="90" spans="4:9" s="917" customFormat="1" ht="33" customHeight="1">
      <c r="D90" s="574"/>
      <c r="I90" s="918"/>
    </row>
    <row r="91" s="917" customFormat="1" ht="33" customHeight="1">
      <c r="H91" s="918"/>
    </row>
    <row r="92" s="917" customFormat="1" ht="33" customHeight="1">
      <c r="H92" s="919"/>
    </row>
    <row r="93" s="917" customFormat="1" ht="33" customHeight="1">
      <c r="H93" s="918"/>
    </row>
    <row r="94" s="917" customFormat="1" ht="33" customHeight="1">
      <c r="H94" s="918"/>
    </row>
    <row r="95" s="917" customFormat="1" ht="33" customHeight="1">
      <c r="H95" s="918"/>
    </row>
    <row r="96" s="917" customFormat="1" ht="33" customHeight="1">
      <c r="H96" s="918"/>
    </row>
    <row r="97" spans="1:53" ht="33" customHeight="1">
      <c r="A97" s="917"/>
      <c r="AL97" s="917"/>
      <c r="AM97" s="917"/>
      <c r="AN97" s="917"/>
      <c r="AO97" s="917"/>
      <c r="AP97" s="917"/>
      <c r="AQ97" s="917"/>
      <c r="AR97" s="917"/>
      <c r="AS97" s="917"/>
      <c r="AT97" s="917"/>
      <c r="AU97" s="917"/>
      <c r="AV97" s="917"/>
      <c r="AW97" s="917"/>
      <c r="AX97" s="917"/>
      <c r="AY97" s="917"/>
      <c r="AZ97" s="917"/>
      <c r="BA97" s="917"/>
    </row>
    <row r="107" ht="33" customHeight="1">
      <c r="B107"/>
    </row>
    <row r="109" ht="33" customHeight="1">
      <c r="B109"/>
    </row>
    <row r="110" ht="33" customHeight="1">
      <c r="B110"/>
    </row>
    <row r="111" ht="33" customHeight="1">
      <c r="B111"/>
    </row>
    <row r="112" ht="33" customHeight="1">
      <c r="B112"/>
    </row>
    <row r="113" spans="1:2" ht="33" customHeight="1">
      <c r="A113"/>
      <c r="B113"/>
    </row>
    <row r="114" ht="33" customHeight="1">
      <c r="B114"/>
    </row>
    <row r="115" spans="1:2" ht="33" customHeight="1">
      <c r="A115"/>
      <c r="B115"/>
    </row>
    <row r="116" ht="33" customHeight="1">
      <c r="B116"/>
    </row>
    <row r="117" ht="33" customHeight="1">
      <c r="A117"/>
    </row>
    <row r="118" spans="1:2" ht="33" customHeight="1">
      <c r="A118"/>
      <c r="B118"/>
    </row>
    <row r="119" ht="33" customHeight="1">
      <c r="B119"/>
    </row>
  </sheetData>
  <sheetProtection/>
  <hyperlinks>
    <hyperlink ref="B3" location="'стац. с выносн. БД'!I6" display="'стац. с выносн. БД'!I6"/>
    <hyperlink ref="B13" location="'стац. с выносн. БД'!I7" display="'стац. с выносн. БД'!I7"/>
    <hyperlink ref="F13" location="'стац. с выносн. БД'!I9" display="'стац. с выносн. БД'!I9"/>
    <hyperlink ref="D13" location="'стац. с выносн. БД'!I7" display="'стац. с выносн. БД'!I7"/>
    <hyperlink ref="D3" location="'стац. с выносн. БД'!I6" display="'стац. с выносн. БД'!I6"/>
    <hyperlink ref="F3" location="'стац. с выносн. БД'!I8" display="'стац. с выносн. БД'!I8"/>
    <hyperlink ref="H3" location="'стац. с выносн. БД'!I8" display="'стац. с выносн. БД'!I8"/>
    <hyperlink ref="H13" location="'стац. с выносн. БД'!I9" display="'стац. с выносн. БД'!I9"/>
    <hyperlink ref="F47" location="'перен. с выносн. БД'!H8" display="'перен. с выносн. БД'!H8"/>
    <hyperlink ref="H47" location="'перен. с выносн. БД'!H8" display="'перен. с выносн. БД'!H8"/>
    <hyperlink ref="B47" location="'перен. с выносн. БД'!H6" display="'перен. с выносн. БД'!H6"/>
    <hyperlink ref="D47" location="'перен. с выносн. БД'!H6" display="'перен. с выносн. БД'!H6"/>
    <hyperlink ref="B58" location="'перен. с выносн. БД'!H7" display="'перен. с выносн. БД'!H7"/>
    <hyperlink ref="D58" location="'перен. с выносн. БД'!H7" display="'перен. с выносн. БД'!H7"/>
    <hyperlink ref="F58" location="'перен. с выносн. БД'!H9" display="'перен. с выносн. БД'!H9"/>
    <hyperlink ref="H58" location="'перен. с выносн. БД'!H9" display="'перен. с выносн. БД'!H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ySplit="1" topLeftCell="B5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X15" sqref="X15"/>
    </sheetView>
  </sheetViews>
  <sheetFormatPr defaultColWidth="9.00390625" defaultRowHeight="12.75"/>
  <cols>
    <col min="1" max="9" width="8.625" style="0" customWidth="1"/>
    <col min="10" max="12" width="8.625" style="303" customWidth="1"/>
    <col min="13" max="37" width="8.625" style="0" customWidth="1"/>
  </cols>
  <sheetData>
    <row r="1" spans="1:36" ht="12.75" customHeight="1" thickBot="1">
      <c r="A1" s="304" t="s">
        <v>371</v>
      </c>
      <c r="B1" s="305">
        <v>0.2</v>
      </c>
      <c r="O1" s="215" t="s">
        <v>305</v>
      </c>
      <c r="P1" s="215"/>
      <c r="Q1" s="216" t="str">
        <f>O3</f>
        <v>C3H8</v>
      </c>
      <c r="R1" t="str">
        <f>O4</f>
        <v>C3H8opt</v>
      </c>
      <c r="S1" t="str">
        <f>O5</f>
        <v>C6H14</v>
      </c>
      <c r="T1" t="str">
        <f>O6</f>
        <v>CH4</v>
      </c>
      <c r="U1" t="str">
        <f>O7</f>
        <v>CH4 токс.</v>
      </c>
      <c r="V1" t="str">
        <f>O8</f>
        <v>CH4opt</v>
      </c>
      <c r="W1" t="str">
        <f>O9</f>
        <v>Cl2</v>
      </c>
      <c r="X1" t="str">
        <f>O10</f>
        <v>CO</v>
      </c>
      <c r="Y1" t="str">
        <f>O11</f>
        <v>CO гор.</v>
      </c>
      <c r="Z1" t="str">
        <f>O12</f>
        <v>CO2</v>
      </c>
      <c r="AA1" t="str">
        <f>O13</f>
        <v>F2</v>
      </c>
      <c r="AB1" t="str">
        <f>O14</f>
        <v>H2</v>
      </c>
      <c r="AC1" t="str">
        <f>O15</f>
        <v>H2S</v>
      </c>
      <c r="AD1" t="str">
        <f>O16</f>
        <v>HCl</v>
      </c>
      <c r="AE1" t="str">
        <f>O17</f>
        <v>HF</v>
      </c>
      <c r="AF1" t="str">
        <f>O18</f>
        <v>NH3</v>
      </c>
      <c r="AG1" t="str">
        <f>O19</f>
        <v>NO2</v>
      </c>
      <c r="AH1" t="str">
        <f>O20</f>
        <v>O2</v>
      </c>
      <c r="AI1" t="str">
        <f>O21</f>
        <v>O3</v>
      </c>
      <c r="AJ1" t="str">
        <f>O22</f>
        <v>SO2</v>
      </c>
    </row>
    <row r="2" spans="15:36" ht="12.75" customHeight="1" thickBot="1">
      <c r="O2" s="215"/>
      <c r="P2" s="215"/>
      <c r="Q2" s="216">
        <f>P2+1</f>
        <v>1</v>
      </c>
      <c r="R2" s="216">
        <f aca="true" t="shared" si="0" ref="R2:AJ2">Q2+1</f>
        <v>2</v>
      </c>
      <c r="S2" s="216">
        <f t="shared" si="0"/>
        <v>3</v>
      </c>
      <c r="T2" s="216">
        <f t="shared" si="0"/>
        <v>4</v>
      </c>
      <c r="U2" s="216">
        <f t="shared" si="0"/>
        <v>5</v>
      </c>
      <c r="V2" s="216">
        <f t="shared" si="0"/>
        <v>6</v>
      </c>
      <c r="W2" s="216">
        <f t="shared" si="0"/>
        <v>7</v>
      </c>
      <c r="X2" s="216">
        <f t="shared" si="0"/>
        <v>8</v>
      </c>
      <c r="Y2" s="216">
        <f t="shared" si="0"/>
        <v>9</v>
      </c>
      <c r="Z2" s="216">
        <f t="shared" si="0"/>
        <v>10</v>
      </c>
      <c r="AA2" s="216">
        <f t="shared" si="0"/>
        <v>11</v>
      </c>
      <c r="AB2" s="216">
        <f t="shared" si="0"/>
        <v>12</v>
      </c>
      <c r="AC2" s="216">
        <f t="shared" si="0"/>
        <v>13</v>
      </c>
      <c r="AD2" s="216">
        <f t="shared" si="0"/>
        <v>14</v>
      </c>
      <c r="AE2" s="216">
        <f t="shared" si="0"/>
        <v>15</v>
      </c>
      <c r="AF2" s="216">
        <f t="shared" si="0"/>
        <v>16</v>
      </c>
      <c r="AG2" s="216">
        <f t="shared" si="0"/>
        <v>17</v>
      </c>
      <c r="AH2" s="216">
        <f t="shared" si="0"/>
        <v>18</v>
      </c>
      <c r="AI2" s="216">
        <f t="shared" si="0"/>
        <v>19</v>
      </c>
      <c r="AJ2" s="217">
        <f t="shared" si="0"/>
        <v>20</v>
      </c>
    </row>
    <row r="3" spans="15:36" ht="12.75" customHeight="1">
      <c r="O3" s="306" t="s">
        <v>286</v>
      </c>
      <c r="P3" s="306">
        <f>P2+1</f>
        <v>1</v>
      </c>
      <c r="Q3" s="307" t="s">
        <v>286</v>
      </c>
      <c r="R3" s="307"/>
      <c r="S3" s="307">
        <v>1</v>
      </c>
      <c r="T3" s="307">
        <v>1</v>
      </c>
      <c r="U3" s="307">
        <v>1</v>
      </c>
      <c r="V3" s="307"/>
      <c r="W3" s="307"/>
      <c r="X3" s="307"/>
      <c r="Y3" s="308">
        <v>1</v>
      </c>
      <c r="Z3" s="307"/>
      <c r="AA3" s="307"/>
      <c r="AB3" s="307">
        <v>1</v>
      </c>
      <c r="AC3" s="307"/>
      <c r="AD3" s="307"/>
      <c r="AE3" s="307"/>
      <c r="AF3" s="307"/>
      <c r="AG3" s="307"/>
      <c r="AH3" s="307"/>
      <c r="AI3" s="307"/>
      <c r="AJ3" s="309"/>
    </row>
    <row r="4" spans="15:36" ht="12.75" customHeight="1">
      <c r="O4" s="306" t="s">
        <v>372</v>
      </c>
      <c r="P4" s="306">
        <f aca="true" t="shared" si="1" ref="P4:P22">P3+1</f>
        <v>2</v>
      </c>
      <c r="Q4" s="307"/>
      <c r="R4" s="307" t="s">
        <v>372</v>
      </c>
      <c r="S4" s="307"/>
      <c r="T4" s="307"/>
      <c r="U4" s="307"/>
      <c r="V4" s="307">
        <v>1</v>
      </c>
      <c r="W4" s="307"/>
      <c r="X4" s="307"/>
      <c r="Y4" s="308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9"/>
    </row>
    <row r="5" spans="1:36" ht="12.75" customHeight="1" thickBot="1">
      <c r="A5" s="310"/>
      <c r="B5" s="310"/>
      <c r="O5" s="306" t="s">
        <v>287</v>
      </c>
      <c r="P5" s="306">
        <f t="shared" si="1"/>
        <v>3</v>
      </c>
      <c r="Q5" s="307">
        <v>1</v>
      </c>
      <c r="R5" s="307"/>
      <c r="S5" s="307" t="s">
        <v>287</v>
      </c>
      <c r="T5" s="307"/>
      <c r="U5" s="307">
        <v>1</v>
      </c>
      <c r="V5" s="307"/>
      <c r="W5" s="307"/>
      <c r="X5" s="307"/>
      <c r="Y5" s="307">
        <v>1</v>
      </c>
      <c r="Z5" s="307"/>
      <c r="AA5" s="307"/>
      <c r="AB5" s="307">
        <v>1</v>
      </c>
      <c r="AC5" s="307"/>
      <c r="AD5" s="307"/>
      <c r="AE5" s="307"/>
      <c r="AF5" s="307"/>
      <c r="AG5" s="307"/>
      <c r="AH5" s="307"/>
      <c r="AI5" s="307"/>
      <c r="AJ5" s="309"/>
    </row>
    <row r="6" spans="1:36" ht="12.75" customHeight="1" thickBot="1">
      <c r="A6" s="214"/>
      <c r="B6" s="313" t="s">
        <v>373</v>
      </c>
      <c r="C6" s="314" t="str">
        <f>CONCATENATE("цена канала с инфл. ",100*ПГ!B1," /мес")</f>
        <v>цена канала с инфл. 0 /мес</v>
      </c>
      <c r="D6" s="315"/>
      <c r="E6" s="314" t="str">
        <f>CONCATENATE("цена корпуса с инфл. ",100*ПГ!B1," /мес")</f>
        <v>цена корпуса с инфл. 0 /мес</v>
      </c>
      <c r="F6" s="316"/>
      <c r="G6" s="317" t="s">
        <v>374</v>
      </c>
      <c r="O6" s="321" t="s">
        <v>284</v>
      </c>
      <c r="P6" s="306">
        <f t="shared" si="1"/>
        <v>4</v>
      </c>
      <c r="Q6" s="307">
        <v>1</v>
      </c>
      <c r="R6" s="307"/>
      <c r="S6" s="307"/>
      <c r="T6" s="307" t="s">
        <v>284</v>
      </c>
      <c r="U6" s="307"/>
      <c r="V6" s="307"/>
      <c r="W6" s="307"/>
      <c r="X6" s="307"/>
      <c r="Y6" s="308">
        <v>1</v>
      </c>
      <c r="Z6" s="307"/>
      <c r="AA6" s="307"/>
      <c r="AB6" s="308">
        <v>1</v>
      </c>
      <c r="AC6" s="307"/>
      <c r="AD6" s="307"/>
      <c r="AE6" s="307"/>
      <c r="AF6" s="307"/>
      <c r="AG6" s="307"/>
      <c r="AH6" s="307"/>
      <c r="AI6" s="307"/>
      <c r="AJ6" s="309"/>
    </row>
    <row r="7" spans="1:36" ht="12.75" customHeight="1" thickBot="1">
      <c r="A7" s="322" t="str">
        <f aca="true" t="shared" si="2" ref="A7:A27">A39</f>
        <v>газы</v>
      </c>
      <c r="B7" s="323" t="s">
        <v>376</v>
      </c>
      <c r="C7" s="324" t="s">
        <v>356</v>
      </c>
      <c r="D7" s="325" t="s">
        <v>377</v>
      </c>
      <c r="E7" s="324" t="s">
        <v>356</v>
      </c>
      <c r="F7" s="325" t="s">
        <v>377</v>
      </c>
      <c r="G7" s="326" t="s">
        <v>378</v>
      </c>
      <c r="O7" s="306" t="s">
        <v>380</v>
      </c>
      <c r="P7" s="306">
        <f t="shared" si="1"/>
        <v>5</v>
      </c>
      <c r="Q7" s="307"/>
      <c r="R7" s="307"/>
      <c r="S7" s="307"/>
      <c r="T7" s="307"/>
      <c r="U7" s="307" t="s">
        <v>284</v>
      </c>
      <c r="V7" s="307"/>
      <c r="W7" s="307"/>
      <c r="X7" s="307"/>
      <c r="Y7" s="308"/>
      <c r="Z7" s="307"/>
      <c r="AA7" s="307"/>
      <c r="AB7" s="308"/>
      <c r="AC7" s="307"/>
      <c r="AD7" s="307"/>
      <c r="AE7" s="307"/>
      <c r="AF7" s="307"/>
      <c r="AG7" s="307"/>
      <c r="AH7" s="307"/>
      <c r="AI7" s="307"/>
      <c r="AJ7" s="309"/>
    </row>
    <row r="8" spans="1:36" ht="12.75" customHeight="1" thickBot="1">
      <c r="A8" s="329" t="str">
        <f t="shared" si="2"/>
        <v>C3H8</v>
      </c>
      <c r="B8" s="814">
        <f>ROUND(B40*ПГ!$F$2,1)</f>
        <v>0</v>
      </c>
      <c r="C8" s="815">
        <f>ROUND(C40*ПГ!$F$2,-1)</f>
        <v>8460</v>
      </c>
      <c r="D8" s="816">
        <f>ROUND(D40*ПГ!$F$2,-1)</f>
        <v>8460</v>
      </c>
      <c r="E8" s="815">
        <f>ROUND(E40*ПГ!$F$2,-1)</f>
        <v>4180</v>
      </c>
      <c r="F8" s="816">
        <f>ROUND(F40*ПГ!$F$2,-1)</f>
        <v>4180</v>
      </c>
      <c r="G8" s="810">
        <v>2</v>
      </c>
      <c r="H8" s="311" t="s">
        <v>502</v>
      </c>
      <c r="I8" s="312"/>
      <c r="J8" s="312"/>
      <c r="K8" s="312"/>
      <c r="O8" s="306" t="s">
        <v>381</v>
      </c>
      <c r="P8" s="306">
        <f t="shared" si="1"/>
        <v>6</v>
      </c>
      <c r="Q8" s="307"/>
      <c r="R8" s="307">
        <v>1</v>
      </c>
      <c r="S8" s="307"/>
      <c r="T8" s="307"/>
      <c r="U8" s="307"/>
      <c r="V8" s="307" t="s">
        <v>381</v>
      </c>
      <c r="W8" s="307"/>
      <c r="X8" s="307"/>
      <c r="Y8" s="308"/>
      <c r="Z8" s="307"/>
      <c r="AA8" s="307"/>
      <c r="AB8" s="308"/>
      <c r="AC8" s="307"/>
      <c r="AD8" s="307"/>
      <c r="AE8" s="307"/>
      <c r="AF8" s="307"/>
      <c r="AG8" s="307"/>
      <c r="AH8" s="307"/>
      <c r="AI8" s="307"/>
      <c r="AJ8" s="309"/>
    </row>
    <row r="9" spans="1:36" ht="12.75" customHeight="1" thickBot="1">
      <c r="A9" s="329" t="str">
        <f t="shared" si="2"/>
        <v>C6H14</v>
      </c>
      <c r="B9" s="814">
        <f>ROUND(B41*ПГ!$F$2,1)</f>
        <v>0</v>
      </c>
      <c r="C9" s="817">
        <f>ROUND(C41*ПГ!$F$2,-1)</f>
        <v>8460</v>
      </c>
      <c r="D9" s="812">
        <f>ROUND(D41*ПГ!$F$2,-1)</f>
        <v>8460</v>
      </c>
      <c r="E9" s="817">
        <f>ROUND(E41*ПГ!$F$2,-1)</f>
        <v>4180</v>
      </c>
      <c r="F9" s="812">
        <f>ROUND(F41*ПГ!$F$2,-1)</f>
        <v>4180</v>
      </c>
      <c r="G9" s="410">
        <v>2</v>
      </c>
      <c r="O9" s="306" t="s">
        <v>382</v>
      </c>
      <c r="P9" s="306">
        <f t="shared" si="1"/>
        <v>7</v>
      </c>
      <c r="Q9" s="307"/>
      <c r="R9" s="307"/>
      <c r="S9" s="307"/>
      <c r="T9" s="307"/>
      <c r="U9" s="307"/>
      <c r="V9" s="307"/>
      <c r="W9" s="307" t="s">
        <v>382</v>
      </c>
      <c r="X9" s="307"/>
      <c r="Y9" s="307"/>
      <c r="Z9" s="307"/>
      <c r="AA9" s="307"/>
      <c r="AB9" s="307"/>
      <c r="AC9" s="307">
        <v>1</v>
      </c>
      <c r="AD9" s="307">
        <v>1</v>
      </c>
      <c r="AE9" s="307"/>
      <c r="AF9" s="307"/>
      <c r="AG9" s="307">
        <v>1</v>
      </c>
      <c r="AH9" s="307"/>
      <c r="AI9" s="307"/>
      <c r="AJ9" s="309"/>
    </row>
    <row r="10" spans="1:36" ht="12.75" customHeight="1" thickBot="1">
      <c r="A10" s="329" t="str">
        <f t="shared" si="2"/>
        <v>CH4</v>
      </c>
      <c r="B10" s="814">
        <f>ROUND(B42*ПГ!$F$2,1)</f>
        <v>0</v>
      </c>
      <c r="C10" s="817">
        <f>ROUND(C42*ПГ!$F$2,-1)</f>
        <v>6880</v>
      </c>
      <c r="D10" s="812">
        <f>ROUND(D42*ПГ!$F$2,-1)</f>
        <v>6880</v>
      </c>
      <c r="E10" s="817">
        <f>ROUND(E42*ПГ!$F$2,-1)</f>
        <v>4250</v>
      </c>
      <c r="F10" s="812">
        <f>ROUND(F42*ПГ!$F$2,-1)</f>
        <v>4250</v>
      </c>
      <c r="G10" s="410">
        <v>2</v>
      </c>
      <c r="O10" s="306" t="s">
        <v>136</v>
      </c>
      <c r="P10" s="306">
        <f t="shared" si="1"/>
        <v>8</v>
      </c>
      <c r="Q10" s="307"/>
      <c r="R10" s="307"/>
      <c r="S10" s="307"/>
      <c r="T10" s="307"/>
      <c r="U10" s="307"/>
      <c r="V10" s="307"/>
      <c r="W10" s="307"/>
      <c r="X10" s="307" t="s">
        <v>136</v>
      </c>
      <c r="Y10" s="307"/>
      <c r="Z10" s="307"/>
      <c r="AA10" s="307"/>
      <c r="AB10" s="308"/>
      <c r="AC10" s="307"/>
      <c r="AD10" s="307"/>
      <c r="AE10" s="307"/>
      <c r="AF10" s="307"/>
      <c r="AG10" s="307"/>
      <c r="AH10" s="307"/>
      <c r="AI10" s="307"/>
      <c r="AJ10" s="309"/>
    </row>
    <row r="11" spans="1:36" ht="12.75" customHeight="1" thickBot="1">
      <c r="A11" s="329" t="str">
        <f t="shared" si="2"/>
        <v>CHopt</v>
      </c>
      <c r="B11" s="814">
        <f>ROUND(B43*ПГ!$F$2,1)</f>
        <v>0</v>
      </c>
      <c r="C11" s="817">
        <f>ROUND(C43*ПГ!$F$2,-1)</f>
        <v>16100</v>
      </c>
      <c r="D11" s="823">
        <f>ROUND(D43*ПГ!$F$2,-1)</f>
        <v>16910</v>
      </c>
      <c r="E11" s="817">
        <f>ROUND(E43*ПГ!$F$2,-1)</f>
        <v>3850</v>
      </c>
      <c r="F11" s="823">
        <f>ROUND(F43*ПГ!$F$2,-1)</f>
        <v>3850</v>
      </c>
      <c r="G11" s="410">
        <v>2</v>
      </c>
      <c r="H11" s="341" t="str">
        <f>H42</f>
        <v>Ангор-С</v>
      </c>
      <c r="I11" s="342" t="str">
        <f>I42</f>
        <v>Цена</v>
      </c>
      <c r="O11" s="306" t="s">
        <v>383</v>
      </c>
      <c r="P11" s="306">
        <f t="shared" si="1"/>
        <v>9</v>
      </c>
      <c r="Q11" s="307"/>
      <c r="R11" s="307"/>
      <c r="S11" s="307"/>
      <c r="T11" s="307"/>
      <c r="U11" s="307"/>
      <c r="V11" s="307"/>
      <c r="W11" s="307"/>
      <c r="X11" s="307"/>
      <c r="Y11" s="307" t="s">
        <v>383</v>
      </c>
      <c r="Z11" s="307"/>
      <c r="AA11" s="307"/>
      <c r="AB11" s="307">
        <v>1</v>
      </c>
      <c r="AC11" s="307"/>
      <c r="AD11" s="307"/>
      <c r="AE11" s="307"/>
      <c r="AF11" s="307"/>
      <c r="AG11" s="307"/>
      <c r="AH11" s="307"/>
      <c r="AI11" s="307"/>
      <c r="AJ11" s="309"/>
    </row>
    <row r="12" spans="1:36" ht="24" customHeight="1" thickBot="1">
      <c r="A12" s="329" t="str">
        <f t="shared" si="2"/>
        <v>Cl2</v>
      </c>
      <c r="B12" s="814">
        <f>ROUND(B44*ПГ!$F$2,1)</f>
        <v>0</v>
      </c>
      <c r="C12" s="817">
        <f>ROUND(C44*ПГ!$F$2,-1)</f>
        <v>8830</v>
      </c>
      <c r="D12" s="812">
        <f>ROUND(D44*ПГ!$F$2,-1)</f>
        <v>8830</v>
      </c>
      <c r="E12" s="817">
        <f>ROUND(E44*ПГ!$F$2,-1)</f>
        <v>9200</v>
      </c>
      <c r="F12" s="812">
        <f>ROUND(F44*ПГ!$F$2,-1)</f>
        <v>9200</v>
      </c>
      <c r="G12" s="410">
        <v>2</v>
      </c>
      <c r="H12" s="341" t="str">
        <f>H43</f>
        <v>(перечень газов)</v>
      </c>
      <c r="I12" s="342" t="str">
        <f>I43</f>
        <v>на 05.09.2018</v>
      </c>
      <c r="O12" s="306" t="s">
        <v>384</v>
      </c>
      <c r="P12" s="306">
        <f t="shared" si="1"/>
        <v>10</v>
      </c>
      <c r="Q12" s="307"/>
      <c r="R12" s="307"/>
      <c r="S12" s="307"/>
      <c r="T12" s="307"/>
      <c r="U12" s="307"/>
      <c r="V12" s="307"/>
      <c r="W12" s="307"/>
      <c r="X12" s="307"/>
      <c r="Y12" s="307"/>
      <c r="Z12" s="307" t="s">
        <v>384</v>
      </c>
      <c r="AA12" s="307"/>
      <c r="AB12" s="307"/>
      <c r="AC12" s="307"/>
      <c r="AD12" s="307"/>
      <c r="AE12" s="307"/>
      <c r="AF12" s="307"/>
      <c r="AG12" s="307"/>
      <c r="AH12" s="307"/>
      <c r="AI12" s="307"/>
      <c r="AJ12" s="309"/>
    </row>
    <row r="13" spans="1:36" ht="40.5" customHeight="1" thickBot="1">
      <c r="A13" s="329" t="str">
        <f t="shared" si="2"/>
        <v>CO</v>
      </c>
      <c r="B13" s="814">
        <f>ROUND(B45*ПГ!$F$2,1)</f>
        <v>0</v>
      </c>
      <c r="C13" s="817">
        <f>ROUND(C45*ПГ!$F$2,-1)</f>
        <v>9300</v>
      </c>
      <c r="D13" s="812">
        <f>ROUND(D45*ПГ!$F$2,-1)</f>
        <v>9300</v>
      </c>
      <c r="E13" s="817">
        <f>ROUND(E45*ПГ!$F$2,-1)</f>
        <v>4230</v>
      </c>
      <c r="F13" s="812">
        <f>ROUND(F45*ПГ!$F$2,-1)</f>
        <v>4230</v>
      </c>
      <c r="G13" s="410">
        <v>2</v>
      </c>
      <c r="H13" s="341" t="str">
        <f>H44</f>
        <v>O2</v>
      </c>
      <c r="I13" s="342">
        <f>ROUND(I44*ПГ!$F$2,-1)</f>
        <v>96100</v>
      </c>
      <c r="O13" s="321" t="s">
        <v>385</v>
      </c>
      <c r="P13" s="306">
        <f t="shared" si="1"/>
        <v>11</v>
      </c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8" t="s">
        <v>385</v>
      </c>
      <c r="AB13" s="307"/>
      <c r="AC13" s="307"/>
      <c r="AD13" s="307"/>
      <c r="AE13" s="307"/>
      <c r="AF13" s="307"/>
      <c r="AG13" s="307"/>
      <c r="AH13" s="307"/>
      <c r="AI13" s="307"/>
      <c r="AJ13" s="309"/>
    </row>
    <row r="14" spans="1:36" ht="12.75">
      <c r="A14" s="329" t="str">
        <f t="shared" si="2"/>
        <v>CO и гор.газ</v>
      </c>
      <c r="B14" s="814">
        <f>ROUND(B46*ПГ!$F$2,1)</f>
        <v>0</v>
      </c>
      <c r="C14" s="817">
        <f>ROUND(C46*ПГ!$F$2,-1)</f>
        <v>0</v>
      </c>
      <c r="D14" s="812">
        <f>ROUND(D46*ПГ!$F$2,-1)</f>
        <v>0</v>
      </c>
      <c r="E14" s="817">
        <f>ROUND(E46*ПГ!$F$2,-1)</f>
        <v>6540</v>
      </c>
      <c r="F14" s="812">
        <f>ROUND(F46*ПГ!$F$2,-1)</f>
        <v>6540</v>
      </c>
      <c r="G14" s="410">
        <v>2</v>
      </c>
      <c r="H14" s="341" t="str">
        <f>H45</f>
        <v>O2, CO</v>
      </c>
      <c r="I14" s="342">
        <f>ROUND(I45*ПГ!$F$2,-1)</f>
        <v>187380</v>
      </c>
      <c r="K14" s="313" t="s">
        <v>266</v>
      </c>
      <c r="L14" s="333" t="s">
        <v>386</v>
      </c>
      <c r="O14" s="306" t="s">
        <v>333</v>
      </c>
      <c r="P14" s="306">
        <f t="shared" si="1"/>
        <v>12</v>
      </c>
      <c r="Q14" s="307"/>
      <c r="R14" s="307"/>
      <c r="S14" s="307"/>
      <c r="T14" s="307"/>
      <c r="U14" s="307"/>
      <c r="V14" s="307"/>
      <c r="W14" s="307"/>
      <c r="X14" s="307">
        <v>1</v>
      </c>
      <c r="Y14" s="307"/>
      <c r="Z14" s="307"/>
      <c r="AA14" s="307"/>
      <c r="AB14" s="307" t="s">
        <v>333</v>
      </c>
      <c r="AC14" s="307">
        <v>1</v>
      </c>
      <c r="AD14" s="307"/>
      <c r="AE14" s="307"/>
      <c r="AF14" s="307"/>
      <c r="AG14" s="307"/>
      <c r="AH14" s="307"/>
      <c r="AI14" s="307"/>
      <c r="AJ14" s="309"/>
    </row>
    <row r="15" spans="1:36" ht="26.25" thickBot="1">
      <c r="A15" s="329" t="str">
        <f t="shared" si="2"/>
        <v>CO и метан</v>
      </c>
      <c r="B15" s="811"/>
      <c r="C15" s="811">
        <f>ROUND(C47*ПГ!$F$2,-1)</f>
        <v>0</v>
      </c>
      <c r="D15" s="811">
        <f>ROUND(D47*ПГ!$F$2,-1)</f>
        <v>0</v>
      </c>
      <c r="E15" s="817">
        <f>ROUND(E47*ПГ!$F$2,-1)</f>
        <v>6540</v>
      </c>
      <c r="F15" s="812">
        <f>ROUND(F47*ПГ!$F$2,-1)</f>
        <v>6540</v>
      </c>
      <c r="G15" s="811"/>
      <c r="H15" s="341" t="str">
        <f>H46</f>
        <v>O2, CO, NO</v>
      </c>
      <c r="I15" s="342">
        <f>ROUND(I46*ПГ!$F$2,-1)</f>
        <v>216220</v>
      </c>
      <c r="K15" s="230" t="s">
        <v>387</v>
      </c>
      <c r="L15" s="334" t="s">
        <v>388</v>
      </c>
      <c r="O15" s="306" t="s">
        <v>389</v>
      </c>
      <c r="P15" s="306">
        <f t="shared" si="1"/>
        <v>13</v>
      </c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>
        <v>1</v>
      </c>
      <c r="AC15" s="307" t="s">
        <v>389</v>
      </c>
      <c r="AD15" s="307"/>
      <c r="AE15" s="307"/>
      <c r="AF15" s="307"/>
      <c r="AG15" s="307"/>
      <c r="AH15" s="307"/>
      <c r="AI15" s="307"/>
      <c r="AJ15" s="309"/>
    </row>
    <row r="16" spans="1:36" ht="13.5" thickBot="1">
      <c r="A16" s="337" t="str">
        <f>A48</f>
        <v>CO2</v>
      </c>
      <c r="B16" s="814">
        <f>ROUND(B48*ПГ!$F$2,1)</f>
        <v>0</v>
      </c>
      <c r="C16" s="817">
        <f>ROUND(C48*ПГ!$F$2,-1)</f>
        <v>20810</v>
      </c>
      <c r="D16" s="812">
        <f>ROUND(D48*ПГ!$F$2,-1)</f>
        <v>21850</v>
      </c>
      <c r="E16" s="817">
        <f>ROUND(E48*ПГ!$F$2,-1)</f>
        <v>8550</v>
      </c>
      <c r="F16" s="812">
        <f>ROUND(F48*ПГ!$F$2,-1)</f>
        <v>8550</v>
      </c>
      <c r="G16" s="410">
        <v>1</v>
      </c>
      <c r="H16" s="341" t="str">
        <f>H47</f>
        <v>O2, NO</v>
      </c>
      <c r="I16" s="342">
        <f>ROUND(I47*ПГ!$F$2,-1)</f>
        <v>156160</v>
      </c>
      <c r="K16" s="335" t="str">
        <f aca="true" t="shared" si="3" ref="K16:K28">K47</f>
        <v>Аммиак</v>
      </c>
      <c r="L16" s="336">
        <f>ROUND(L47*ПГ!$F$2,-1)</f>
        <v>4390</v>
      </c>
      <c r="M16" s="336">
        <f>ROUND(M47*ПГ!$F$2,-1)</f>
        <v>4790</v>
      </c>
      <c r="N16" s="336">
        <f>ROUND(N47*ПГ!$F$2,-1)</f>
        <v>6670</v>
      </c>
      <c r="O16" s="306" t="s">
        <v>48</v>
      </c>
      <c r="P16" s="306">
        <f t="shared" si="1"/>
        <v>14</v>
      </c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>
        <v>1</v>
      </c>
      <c r="AD16" s="307" t="s">
        <v>48</v>
      </c>
      <c r="AE16" s="307"/>
      <c r="AF16" s="307"/>
      <c r="AG16" s="307"/>
      <c r="AH16" s="307"/>
      <c r="AI16" s="307"/>
      <c r="AJ16" s="309">
        <v>1</v>
      </c>
    </row>
    <row r="17" spans="1:36" ht="26.25" thickBot="1">
      <c r="A17" s="329" t="str">
        <f>A49</f>
        <v>CO-горюч.</v>
      </c>
      <c r="B17" s="811"/>
      <c r="C17" s="811">
        <f>ROUND(C49*ПГ!$F$2,-1)</f>
        <v>8460</v>
      </c>
      <c r="D17" s="811">
        <f>ROUND(D49*ПГ!$F$2,-1)</f>
        <v>8460</v>
      </c>
      <c r="E17" s="817">
        <f>ROUND(E49*ПГ!$F$2,-1)</f>
        <v>4180</v>
      </c>
      <c r="F17" s="812">
        <f>ROUND(F49*ПГ!$F$2,-1)</f>
        <v>4180</v>
      </c>
      <c r="G17" s="811">
        <v>2</v>
      </c>
      <c r="J17" s="340"/>
      <c r="K17" s="335" t="str">
        <f t="shared" si="3"/>
        <v>Диоксид азота</v>
      </c>
      <c r="L17" s="336">
        <f>ROUND(L48*ПГ!$F$2,-1)</f>
        <v>4390</v>
      </c>
      <c r="M17" s="336">
        <f>ROUND(M48*ПГ!$F$2,-1)</f>
        <v>4790</v>
      </c>
      <c r="N17" s="336">
        <f>ROUND(N48*ПГ!$F$2,-1)</f>
        <v>0</v>
      </c>
      <c r="O17" s="306" t="s">
        <v>117</v>
      </c>
      <c r="P17" s="306">
        <f t="shared" si="1"/>
        <v>15</v>
      </c>
      <c r="Q17" s="307"/>
      <c r="R17" s="307"/>
      <c r="S17" s="307"/>
      <c r="T17" s="307"/>
      <c r="U17" s="307"/>
      <c r="V17" s="307"/>
      <c r="W17" s="307">
        <v>1</v>
      </c>
      <c r="X17" s="307"/>
      <c r="Y17" s="307"/>
      <c r="Z17" s="307"/>
      <c r="AA17" s="307"/>
      <c r="AB17" s="307"/>
      <c r="AC17" s="307">
        <v>1</v>
      </c>
      <c r="AD17" s="307">
        <v>1</v>
      </c>
      <c r="AE17" s="307" t="s">
        <v>117</v>
      </c>
      <c r="AF17" s="307"/>
      <c r="AG17" s="307"/>
      <c r="AH17" s="307"/>
      <c r="AI17" s="307"/>
      <c r="AJ17" s="309">
        <v>1</v>
      </c>
    </row>
    <row r="18" spans="1:36" ht="54.75" customHeight="1" thickBot="1">
      <c r="A18" s="329" t="str">
        <f t="shared" si="2"/>
        <v>F2</v>
      </c>
      <c r="B18" s="814">
        <f>ROUND(B50*ПГ!$F$2,1)</f>
        <v>0</v>
      </c>
      <c r="C18" s="817">
        <f>ROUND(C50*ПГ!$F$2,-1)</f>
        <v>16340</v>
      </c>
      <c r="D18" s="812">
        <f>ROUND(D50*ПГ!$F$2,-1)</f>
        <v>16340</v>
      </c>
      <c r="E18" s="817">
        <f>ROUND(E50*ПГ!$F$2,-1)</f>
        <v>9180</v>
      </c>
      <c r="F18" s="812">
        <f>ROUND(F50*ПГ!$F$2,-1)</f>
        <v>9180</v>
      </c>
      <c r="G18" s="410">
        <v>2</v>
      </c>
      <c r="H18" s="344" t="str">
        <f>H49</f>
        <v>Анализатор остаточного активного хлора в воде ВАКХ-2000</v>
      </c>
      <c r="I18" s="342">
        <f>ROUND(I49*ПГ!$F$2,-1)</f>
        <v>41710</v>
      </c>
      <c r="K18" s="341" t="str">
        <f t="shared" si="3"/>
        <v>Диоксид серы</v>
      </c>
      <c r="L18" s="336">
        <f>ROUND(L49*ПГ!$F$2,-1)</f>
        <v>4390</v>
      </c>
      <c r="M18" s="336">
        <f>ROUND(M49*ПГ!$F$2,-1)</f>
        <v>4790</v>
      </c>
      <c r="N18" s="342">
        <f>ROUND(N49*ПГ!$F$2,-1)</f>
        <v>0</v>
      </c>
      <c r="O18" s="306" t="s">
        <v>390</v>
      </c>
      <c r="P18" s="306">
        <f t="shared" si="1"/>
        <v>16</v>
      </c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 t="s">
        <v>390</v>
      </c>
      <c r="AG18" s="307"/>
      <c r="AH18" s="307"/>
      <c r="AI18" s="307"/>
      <c r="AJ18" s="309"/>
    </row>
    <row r="19" spans="1:36" ht="192.75" thickBot="1">
      <c r="A19" s="329" t="str">
        <f t="shared" si="2"/>
        <v>H2</v>
      </c>
      <c r="B19" s="814">
        <f>ROUND(B51*ПГ!$F$2,1)</f>
        <v>0</v>
      </c>
      <c r="C19" s="817">
        <f>ROUND(C51*ПГ!$F$2,-1)</f>
        <v>8460</v>
      </c>
      <c r="D19" s="812">
        <f>ROUND(D51*ПГ!$F$2,-1)</f>
        <v>8460</v>
      </c>
      <c r="E19" s="817">
        <f>ROUND(E51*ПГ!$F$2,-1)</f>
        <v>4180</v>
      </c>
      <c r="F19" s="812">
        <f>ROUND(F51*ПГ!$F$2,-1)</f>
        <v>4180</v>
      </c>
      <c r="G19" s="410">
        <v>2</v>
      </c>
      <c r="H19" s="344" t="str">
        <f>H50</f>
        <v>Анализатор остаточного активного хлора в воде ВАКХ-2000С, стационарный, лабораторный, полуавтоматический</v>
      </c>
      <c r="I19" s="342">
        <f>ROUND(I50*ПГ!$F$2,-1)</f>
        <v>53450</v>
      </c>
      <c r="J19" s="340"/>
      <c r="K19" s="341" t="str">
        <f t="shared" si="3"/>
        <v>Кислород</v>
      </c>
      <c r="L19" s="336">
        <f>ROUND(L50*ПГ!$F$2,-1)</f>
        <v>4390</v>
      </c>
      <c r="M19" s="336">
        <f>ROUND(M50*ПГ!$F$2,-1)</f>
        <v>4790</v>
      </c>
      <c r="N19" s="342">
        <f>ROUND(N50*ПГ!$F$2,-1)</f>
        <v>0</v>
      </c>
      <c r="O19" s="306" t="s">
        <v>391</v>
      </c>
      <c r="P19" s="306">
        <f t="shared" si="1"/>
        <v>17</v>
      </c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>
        <v>1</v>
      </c>
      <c r="AD19" s="307">
        <v>1</v>
      </c>
      <c r="AE19" s="307"/>
      <c r="AF19" s="307"/>
      <c r="AG19" s="307" t="s">
        <v>391</v>
      </c>
      <c r="AH19" s="307"/>
      <c r="AI19" s="307"/>
      <c r="AJ19" s="309">
        <v>1</v>
      </c>
    </row>
    <row r="20" spans="1:36" ht="65.25" customHeight="1" thickBot="1">
      <c r="A20" s="329" t="str">
        <f t="shared" si="2"/>
        <v>H2S</v>
      </c>
      <c r="B20" s="814">
        <f>ROUND(B52*ПГ!$F$2,1)</f>
        <v>0</v>
      </c>
      <c r="C20" s="817">
        <f>ROUND(C52*ПГ!$F$2,-1)</f>
        <v>9350</v>
      </c>
      <c r="D20" s="812">
        <f>ROUND(D52*ПГ!$F$2,-1)</f>
        <v>9350</v>
      </c>
      <c r="E20" s="817">
        <f>ROUND(E52*ПГ!$F$2,-1)</f>
        <v>9170</v>
      </c>
      <c r="F20" s="812">
        <f>ROUND(F52*ПГ!$F$2,-1)</f>
        <v>9170</v>
      </c>
      <c r="G20" s="410">
        <v>1</v>
      </c>
      <c r="H20" s="344" t="str">
        <f>H51</f>
        <v>Анализатор остаточного активного хлора в воде ВАКХ-2000С, стационарный, проточный, автоматический</v>
      </c>
      <c r="I20" s="342">
        <f>ROUND(I51*ПГ!$F$2,-1)</f>
        <v>107570</v>
      </c>
      <c r="J20" s="340"/>
      <c r="K20" s="341" t="str">
        <f t="shared" si="3"/>
        <v>Метан и др. горючие газы</v>
      </c>
      <c r="L20" s="342">
        <f>ROUND(L51*ПГ!$F$2,-1)</f>
        <v>2050</v>
      </c>
      <c r="N20" s="342">
        <f>ROUND(N51*ПГ!$F$2,-1)</f>
        <v>0</v>
      </c>
      <c r="O20" s="306" t="s">
        <v>392</v>
      </c>
      <c r="P20" s="306">
        <f t="shared" si="1"/>
        <v>18</v>
      </c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 t="s">
        <v>392</v>
      </c>
      <c r="AI20" s="307"/>
      <c r="AJ20" s="309"/>
    </row>
    <row r="21" spans="1:36" ht="20.25" customHeight="1" thickBot="1">
      <c r="A21" s="329" t="str">
        <f t="shared" si="2"/>
        <v>HCl</v>
      </c>
      <c r="B21" s="814">
        <f>ROUND(B53*ПГ!$F$2,1)</f>
        <v>0</v>
      </c>
      <c r="C21" s="817">
        <f>ROUND(C53*ПГ!$F$2,-1)</f>
        <v>18760</v>
      </c>
      <c r="D21" s="823">
        <f>ROUND(D53*ПГ!$F$2,-1)</f>
        <v>18760</v>
      </c>
      <c r="E21" s="817">
        <f>ROUND(E53*ПГ!$F$2,-1)</f>
        <v>8970</v>
      </c>
      <c r="F21" s="823">
        <f>ROUND(F53*ПГ!$F$2,-1)</f>
        <v>8970</v>
      </c>
      <c r="G21" s="256">
        <v>1</v>
      </c>
      <c r="J21" s="340"/>
      <c r="K21" s="341" t="str">
        <f t="shared" si="3"/>
        <v>Сероводород</v>
      </c>
      <c r="L21" s="342">
        <f>ROUND(L52*ПГ!$F$2,-1)</f>
        <v>4390</v>
      </c>
      <c r="M21" s="342">
        <f>ROUND(M52*ПГ!$F$2,-1)</f>
        <v>4790</v>
      </c>
      <c r="N21" s="342">
        <f>ROUND(N52*ПГ!$F$2,-1)</f>
        <v>0</v>
      </c>
      <c r="O21" s="579" t="s">
        <v>404</v>
      </c>
      <c r="P21" s="306">
        <f t="shared" si="1"/>
        <v>19</v>
      </c>
      <c r="Q21" s="307"/>
      <c r="R21" s="307"/>
      <c r="S21" s="307"/>
      <c r="T21" s="307"/>
      <c r="U21" s="307"/>
      <c r="V21" s="307"/>
      <c r="W21" s="307">
        <v>1</v>
      </c>
      <c r="X21" s="307"/>
      <c r="Y21" s="307"/>
      <c r="Z21" s="307"/>
      <c r="AA21" s="307"/>
      <c r="AB21" s="307"/>
      <c r="AC21" s="307"/>
      <c r="AD21" s="307"/>
      <c r="AE21" s="307"/>
      <c r="AF21" s="307"/>
      <c r="AG21" s="307">
        <v>1</v>
      </c>
      <c r="AH21" s="307"/>
      <c r="AI21" s="579" t="s">
        <v>404</v>
      </c>
      <c r="AJ21" s="309"/>
    </row>
    <row r="22" spans="1:36" ht="54.75" customHeight="1" thickBot="1">
      <c r="A22" s="329" t="str">
        <f t="shared" si="2"/>
        <v>HF</v>
      </c>
      <c r="B22" s="814">
        <f>ROUND(B54*ПГ!$F$2,1)</f>
        <v>0</v>
      </c>
      <c r="C22" s="817">
        <f>ROUND(C54*ПГ!$F$2,-1)</f>
        <v>24090</v>
      </c>
      <c r="D22" s="812">
        <f>ROUND(D54*ПГ!$F$2,-1)</f>
        <v>24090</v>
      </c>
      <c r="E22" s="817">
        <f>ROUND(E54*ПГ!$F$2,-1)</f>
        <v>8810</v>
      </c>
      <c r="F22" s="812">
        <f>ROUND(F54*ПГ!$F$2,-1)</f>
        <v>8810</v>
      </c>
      <c r="G22" s="256">
        <v>2</v>
      </c>
      <c r="H22" s="344" t="str">
        <f>H53</f>
        <v>Анализатор элементного состава "ТОПАЗ-C" с управляющим компьютером и устройством подачи чистого воздуха</v>
      </c>
      <c r="I22" s="345">
        <f>ROUND(I53*ПГ!$F$2,-1)</f>
        <v>612490</v>
      </c>
      <c r="K22" s="341" t="str">
        <f t="shared" si="3"/>
        <v>Угарный газ</v>
      </c>
      <c r="L22" s="342">
        <f>ROUND(L53*ПГ!$F$2,-1)</f>
        <v>4390</v>
      </c>
      <c r="M22" s="342">
        <f>ROUND(M53*ПГ!$F$2,-1)</f>
        <v>4790</v>
      </c>
      <c r="N22" s="342">
        <f>ROUND(N53*ПГ!$F$2,-1)</f>
        <v>6670</v>
      </c>
      <c r="O22" s="346" t="s">
        <v>263</v>
      </c>
      <c r="P22" s="346">
        <f t="shared" si="1"/>
        <v>20</v>
      </c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>
        <v>1</v>
      </c>
      <c r="AC22" s="347">
        <v>1</v>
      </c>
      <c r="AD22" s="347">
        <v>1</v>
      </c>
      <c r="AE22" s="347"/>
      <c r="AF22" s="347"/>
      <c r="AG22" s="347"/>
      <c r="AH22" s="347"/>
      <c r="AI22" s="347"/>
      <c r="AJ22" s="348" t="s">
        <v>263</v>
      </c>
    </row>
    <row r="23" spans="1:14" ht="52.5" customHeight="1" thickBot="1">
      <c r="A23" s="329" t="str">
        <f t="shared" si="2"/>
        <v>NH3</v>
      </c>
      <c r="B23" s="814">
        <f>ROUND(B55*ПГ!$F$2,1)</f>
        <v>0</v>
      </c>
      <c r="C23" s="817">
        <f>ROUND(C55*ПГ!$F$2,-1)</f>
        <v>10440</v>
      </c>
      <c r="D23" s="812">
        <f>ROUND(D55*ПГ!$F$2,-1)</f>
        <v>10440</v>
      </c>
      <c r="E23" s="817">
        <f>ROUND(E55*ПГ!$F$2,-1)</f>
        <v>9120</v>
      </c>
      <c r="F23" s="812">
        <f>ROUND(F55*ПГ!$F$2,-1)</f>
        <v>9120</v>
      </c>
      <c r="G23" s="256">
        <v>3</v>
      </c>
      <c r="H23" s="344" t="str">
        <f>H54</f>
        <v>Анализатор элементного состава "ТОПАЗ-N" с управляющим компьютером и устройством подачи чистого воздуха</v>
      </c>
      <c r="I23" s="349">
        <f>ROUND(I54*ПГ!$F$2,-1)</f>
        <v>637220</v>
      </c>
      <c r="K23" s="341" t="str">
        <f t="shared" si="3"/>
        <v>Фтор</v>
      </c>
      <c r="L23" s="342">
        <f>ROUND(L54*ПГ!$F$2,-1)</f>
        <v>6440</v>
      </c>
      <c r="N23" s="342">
        <f>ROUND(N54*ПГ!$F$2,-1)</f>
        <v>0</v>
      </c>
    </row>
    <row r="24" spans="1:17" ht="63" customHeight="1" thickBot="1">
      <c r="A24" s="329" t="str">
        <f t="shared" si="2"/>
        <v>NO2</v>
      </c>
      <c r="B24" s="814">
        <f>ROUND(B56*ПГ!$F$2,1)</f>
        <v>0</v>
      </c>
      <c r="C24" s="818">
        <f>ROUND(C56*ПГ!$F$2,-1)</f>
        <v>12580</v>
      </c>
      <c r="D24" s="823">
        <f>ROUND(D56*ПГ!$F$2,-1)</f>
        <v>12580</v>
      </c>
      <c r="E24" s="818">
        <f>ROUND(E56*ПГ!$F$2,-1)</f>
        <v>9360</v>
      </c>
      <c r="F24" s="823">
        <f>ROUND(F56*ПГ!$F$2,-1)</f>
        <v>9360</v>
      </c>
      <c r="G24" s="256">
        <v>1</v>
      </c>
      <c r="H24" s="344" t="str">
        <f>H55</f>
        <v>Анализатор элементного состава "ТОПАЗ-NC" с управляющим компьютером и устройством подачи чистого воздуха</v>
      </c>
      <c r="I24" s="350">
        <f>ROUND(I55*ПГ!$F$2,-1)</f>
        <v>797480</v>
      </c>
      <c r="K24" s="341" t="str">
        <f t="shared" si="3"/>
        <v>Фтористый водород</v>
      </c>
      <c r="L24" s="342">
        <f>ROUND(L55*ПГ!$F$2,-1)</f>
        <v>6440</v>
      </c>
      <c r="N24" s="342">
        <f>ROUND(N55*ПГ!$F$2,-1)</f>
        <v>8460</v>
      </c>
      <c r="P24" s="318" t="str">
        <f aca="true" t="shared" si="4" ref="P24:P35">P38</f>
        <v>Оптима</v>
      </c>
      <c r="Q24" s="319" t="s">
        <v>375</v>
      </c>
    </row>
    <row r="25" spans="1:17" ht="13.5" thickBot="1">
      <c r="A25" s="329" t="str">
        <f t="shared" si="2"/>
        <v>O2</v>
      </c>
      <c r="B25" s="814">
        <f>ROUND(B57*ПГ!$F$2,1)</f>
        <v>0</v>
      </c>
      <c r="C25" s="817">
        <f>ROUND(C57*ПГ!$F$2,-1)</f>
        <v>9670</v>
      </c>
      <c r="D25" s="812">
        <f>ROUND(D57*ПГ!$F$2,-1)</f>
        <v>9670</v>
      </c>
      <c r="E25" s="817">
        <f>ROUND(E57*ПГ!$F$2,-1)</f>
        <v>9500</v>
      </c>
      <c r="F25" s="812">
        <f>ROUND(F57*ПГ!$F$2,-1)</f>
        <v>9500</v>
      </c>
      <c r="G25" s="256">
        <v>1</v>
      </c>
      <c r="H25" s="343"/>
      <c r="J25" s="340"/>
      <c r="K25" s="341" t="str">
        <f t="shared" si="3"/>
        <v>Хлор</v>
      </c>
      <c r="L25" s="342">
        <f>ROUND(L56*ПГ!$F$2,-1)</f>
        <v>4390</v>
      </c>
      <c r="M25" s="342">
        <f>ROUND(M56*ПГ!$F$2,-1)</f>
        <v>4790</v>
      </c>
      <c r="N25" s="342">
        <f>ROUND(N56*ПГ!$F$2,-1)</f>
        <v>0</v>
      </c>
      <c r="P25" s="327" t="str">
        <f t="shared" si="4"/>
        <v>(перечень газов)</v>
      </c>
      <c r="Q25" s="328" t="s">
        <v>379</v>
      </c>
    </row>
    <row r="26" spans="1:17" ht="60.75" thickBot="1">
      <c r="A26" s="329" t="str">
        <f t="shared" si="2"/>
        <v>O3</v>
      </c>
      <c r="B26" s="814">
        <f>ROUND(B58*ПГ!$F$2,1)</f>
        <v>0</v>
      </c>
      <c r="C26" s="813">
        <f>ROUND(C58*ПГ!$F$2,-1)</f>
        <v>10210</v>
      </c>
      <c r="D26" s="819">
        <f>ROUND(D58*ПГ!$F$2,-1)</f>
        <v>10210</v>
      </c>
      <c r="E26" s="813">
        <f>ROUND(E58*ПГ!$F$2,-1)</f>
        <v>8750</v>
      </c>
      <c r="F26" s="819">
        <f>ROUND(F58*ПГ!$F$2,-1)</f>
        <v>8750</v>
      </c>
      <c r="G26" s="256">
        <v>1</v>
      </c>
      <c r="H26" s="354" t="str">
        <f aca="true" t="shared" si="5" ref="H26:H35">H57</f>
        <v>Генератор ПГСМ "ИНФАН ГР-_" k=2500</v>
      </c>
      <c r="I26" s="352">
        <f>ROUND(I57*ПГ!$F$2,-1)</f>
        <v>357340</v>
      </c>
      <c r="J26" s="516">
        <v>42156</v>
      </c>
      <c r="K26" s="341" t="str">
        <f t="shared" si="3"/>
        <v>Хлористый водород</v>
      </c>
      <c r="L26" s="342">
        <f>ROUND(L57*ПГ!$F$2,-1)</f>
        <v>6440</v>
      </c>
      <c r="N26" s="342">
        <f>ROUND(N57*ПГ!$F$2,-1)</f>
        <v>0</v>
      </c>
      <c r="P26" s="330" t="str">
        <f t="shared" si="4"/>
        <v>O2</v>
      </c>
      <c r="Q26" s="331">
        <f>ROUND(Q40*ПГ!$F$2,-1)</f>
        <v>48380</v>
      </c>
    </row>
    <row r="27" spans="1:17" ht="60.75" thickBot="1">
      <c r="A27" s="353" t="str">
        <f t="shared" si="2"/>
        <v>SO2</v>
      </c>
      <c r="B27" s="814">
        <f>ROUND(B59*ПГ!$F$2,1)</f>
        <v>0</v>
      </c>
      <c r="C27" s="820">
        <f>ROUND(C59*ПГ!$F$2,-1)</f>
        <v>9670</v>
      </c>
      <c r="D27" s="821">
        <f>ROUND(D59*ПГ!$F$2,-1)</f>
        <v>9670</v>
      </c>
      <c r="E27" s="820">
        <f>ROUND(E59*ПГ!$F$2,-1)</f>
        <v>9500</v>
      </c>
      <c r="F27" s="821">
        <f>ROUND(F59*ПГ!$F$2,-1)</f>
        <v>9500</v>
      </c>
      <c r="G27" s="270">
        <v>1</v>
      </c>
      <c r="H27" s="354" t="str">
        <f t="shared" si="5"/>
        <v>Генератор ПГСМ "ИНФАН ГР-_" k=450</v>
      </c>
      <c r="I27" s="352">
        <f>ROUND(I58*ПГ!$F$2,-1)</f>
        <v>314030</v>
      </c>
      <c r="J27" s="340"/>
      <c r="K27" s="341" t="str">
        <f t="shared" si="3"/>
        <v>Цианистый водород</v>
      </c>
      <c r="L27" s="342">
        <f>ROUND(L58*ПГ!$F$2,-1)</f>
        <v>13200</v>
      </c>
      <c r="N27" s="342">
        <f>ROUND(N58*ПГ!$F$2,-1)</f>
        <v>0</v>
      </c>
      <c r="P27" s="332" t="str">
        <f t="shared" si="4"/>
        <v>O2, CH4</v>
      </c>
      <c r="Q27" s="320">
        <f>ROUND(Q41*ПГ!$F$2,-1)</f>
        <v>78620</v>
      </c>
    </row>
    <row r="28" spans="2:17" ht="35.25" customHeight="1" thickBot="1">
      <c r="B28" s="355" t="str">
        <f aca="true" t="shared" si="6" ref="B28:B33">B60</f>
        <v>БР-10М, динрельс</v>
      </c>
      <c r="C28" s="356">
        <f>ROUND(C60*ПГ!$F$2,-1)</f>
        <v>1950</v>
      </c>
      <c r="D28" s="357">
        <f>ROUND(D60*ПГ!$F$2,-1)</f>
        <v>1950</v>
      </c>
      <c r="H28" s="354" t="str">
        <f t="shared" si="5"/>
        <v>Генератор ПГСМ "ИНФАН ГР-_" k=50</v>
      </c>
      <c r="I28" s="352">
        <f>ROUND(I59*ПГ!$F$2,-1)</f>
        <v>270710</v>
      </c>
      <c r="J28" s="340"/>
      <c r="K28" s="351" t="str">
        <f t="shared" si="3"/>
        <v>Ячейка генератора ГХ-120</v>
      </c>
      <c r="L28" s="352">
        <f>ROUND(L59*ПГ!$F$2,-1)</f>
        <v>4120</v>
      </c>
      <c r="N28" s="352">
        <f>ROUND(N58*ПГ!$F$2,-1)</f>
        <v>0</v>
      </c>
      <c r="P28" s="332" t="str">
        <f t="shared" si="4"/>
        <v>O2, CO</v>
      </c>
      <c r="Q28" s="320">
        <f>ROUND(Q42*ПГ!$F$2,-1)</f>
        <v>108860</v>
      </c>
    </row>
    <row r="29" spans="2:17" ht="38.25" customHeight="1" thickBot="1">
      <c r="B29" s="358" t="str">
        <f t="shared" si="6"/>
        <v>блок искрозащиты</v>
      </c>
      <c r="C29" s="359"/>
      <c r="D29" s="357">
        <f>ROUND(D61*ПГ!$F$2,-1)</f>
        <v>3540</v>
      </c>
      <c r="H29" s="354" t="str">
        <f t="shared" si="5"/>
        <v>Генератор ПГСМ "ИНФАН ФХГ-HCl "</v>
      </c>
      <c r="I29" s="352">
        <f>ROUND(I60*ПГ!$F$2,-1)</f>
        <v>604500</v>
      </c>
      <c r="J29" s="340"/>
      <c r="M29" s="1"/>
      <c r="N29" s="1"/>
      <c r="P29" s="332" t="str">
        <f t="shared" si="4"/>
        <v>O2, CO, CH4</v>
      </c>
      <c r="Q29" s="320">
        <f>ROUND(Q43*ПГ!$F$2,-1)</f>
        <v>123970</v>
      </c>
    </row>
    <row r="30" spans="2:17" ht="115.5" thickBot="1">
      <c r="B30" s="358" t="str">
        <f t="shared" si="6"/>
        <v>блок БППН</v>
      </c>
      <c r="C30" s="360"/>
      <c r="D30" s="361">
        <f>ROUND(D62*ПГ!$F$2,-1)</f>
        <v>4190</v>
      </c>
      <c r="H30" s="354" t="str">
        <f t="shared" si="5"/>
        <v>Генератор ПГСМ "ИНФАН ФХГ-HCl ЭХГР-Cl2"</v>
      </c>
      <c r="I30" s="352">
        <f>ROUND(I61*ПГ!$F$2,-1)</f>
        <v>794500</v>
      </c>
      <c r="J30" s="340"/>
      <c r="K30" s="335" t="str">
        <f>K61</f>
        <v>Адаптер для поверки газоанализаторов ОКАМ, ОКА92М, ОКА92Т</v>
      </c>
      <c r="L30" s="336">
        <f>ROUND(L61*ПГ!$F$2,-1)</f>
        <v>560</v>
      </c>
      <c r="M30" s="1"/>
      <c r="N30" s="1"/>
      <c r="P30" s="332" t="str">
        <f t="shared" si="4"/>
        <v>O2, CO, NO</v>
      </c>
      <c r="Q30" s="320">
        <f>ROUND(Q44*ПГ!$F$2,-1)</f>
        <v>139090</v>
      </c>
    </row>
    <row r="31" spans="2:17" ht="60.75" thickBot="1">
      <c r="B31" s="358" t="str">
        <f t="shared" si="6"/>
        <v>наценка на моноблок</v>
      </c>
      <c r="D31" s="361">
        <f>ROUND(D63*ПГ!$F$2,-1)</f>
        <v>1100</v>
      </c>
      <c r="H31" s="354" t="str">
        <f t="shared" si="5"/>
        <v>Генератор ПГСМ "ИНФАН ЭХГР-Cl2"</v>
      </c>
      <c r="I31" s="352">
        <f>ROUND(I62*ПГ!$F$2,-1)</f>
        <v>380130</v>
      </c>
      <c r="J31" s="340"/>
      <c r="K31" s="341" t="str">
        <f>K62</f>
        <v>Аккумуляторная батарея 9В</v>
      </c>
      <c r="L31" s="342">
        <f>ROUND(L62*ПГ!$F$2,-1)</f>
        <v>270</v>
      </c>
      <c r="M31" s="1"/>
      <c r="N31" s="1"/>
      <c r="P31" s="332" t="str">
        <f t="shared" si="4"/>
        <v>O2, CO, NO, CH4</v>
      </c>
      <c r="Q31" s="320">
        <f>ROUND(Q45*ПГ!$F$2,-1)</f>
        <v>214690</v>
      </c>
    </row>
    <row r="32" spans="2:17" ht="60.75" thickBot="1">
      <c r="B32" s="358" t="str">
        <f t="shared" si="6"/>
        <v>блок коммутации/управления</v>
      </c>
      <c r="D32" s="361">
        <f>ROUND(D64*ПГ!$F$2,-1)</f>
        <v>9870</v>
      </c>
      <c r="H32" s="354" t="str">
        <f t="shared" si="5"/>
        <v>Генератор ПГСМ "ИНФАН ЭХГР-HCN"</v>
      </c>
      <c r="I32" s="352">
        <f>ROUND(I63*ПГ!$F$2,-1)</f>
        <v>604500</v>
      </c>
      <c r="K32" s="351" t="str">
        <f>K63</f>
        <v>Зарядное устройство</v>
      </c>
      <c r="L32" s="352">
        <f>ROUND(L63*ПГ!$F$2,-1)</f>
        <v>440</v>
      </c>
      <c r="M32" s="1"/>
      <c r="N32" s="1"/>
      <c r="P32" s="332" t="str">
        <f t="shared" si="4"/>
        <v>O2, NO</v>
      </c>
      <c r="Q32" s="320">
        <f>ROUND(Q46*ПГ!$F$2,-1)</f>
        <v>108860</v>
      </c>
    </row>
    <row r="33" spans="2:17" ht="60.75" thickBot="1">
      <c r="B33" s="358" t="str">
        <f t="shared" si="6"/>
        <v>наценка на дисплей</v>
      </c>
      <c r="D33" s="361">
        <f>ROUND(D65*ПГ!$F$2,-1)</f>
        <v>2110</v>
      </c>
      <c r="H33" s="354" t="str">
        <f t="shared" si="5"/>
        <v>Генератор ПГСМ "ИНФАН ЭХГР-HF"</v>
      </c>
      <c r="I33" s="352">
        <f>ROUND(I64*ПГ!$F$2,-1)</f>
        <v>928130</v>
      </c>
      <c r="K33" s="351"/>
      <c r="L33" s="352"/>
      <c r="M33" s="1"/>
      <c r="N33" s="1"/>
      <c r="P33" s="332" t="str">
        <f t="shared" si="4"/>
        <v>Шкаф пневматики</v>
      </c>
      <c r="Q33" s="320">
        <f>ROUND(Q47*ПГ!$F$2,-1)</f>
        <v>27220</v>
      </c>
    </row>
    <row r="34" spans="8:17" ht="60.75" thickBot="1">
      <c r="H34" s="354" t="str">
        <f t="shared" si="5"/>
        <v>Генератор ПГСМ "ИНФАН ЭХГР-SO2"</v>
      </c>
      <c r="I34" s="352">
        <f>ROUND(I65*ПГ!$F$2,-1)</f>
        <v>577130</v>
      </c>
      <c r="M34" s="1"/>
      <c r="N34" s="1"/>
      <c r="P34" s="332" t="str">
        <f t="shared" si="4"/>
        <v>Трансформатор 36В</v>
      </c>
      <c r="Q34" s="320">
        <f>ROUND(Q48*ПГ!$F$2,-1)</f>
        <v>2270</v>
      </c>
    </row>
    <row r="35" spans="8:17" ht="16.5" customHeight="1" thickBot="1">
      <c r="H35" s="354" t="str">
        <f t="shared" si="5"/>
        <v>ГР05М</v>
      </c>
      <c r="I35" s="352">
        <f>I66</f>
        <v>250000</v>
      </c>
      <c r="P35" s="338" t="str">
        <f t="shared" si="4"/>
        <v>Компрессор</v>
      </c>
      <c r="Q35" s="339">
        <f>ROUND(Q49*ПГ!$F$2,-1)</f>
        <v>10580</v>
      </c>
    </row>
    <row r="36" ht="24.75" customHeight="1"/>
    <row r="37" ht="13.5" thickBot="1"/>
    <row r="38" spans="1:17" ht="13.5" thickBot="1">
      <c r="A38" s="214"/>
      <c r="B38" s="313" t="s">
        <v>373</v>
      </c>
      <c r="C38" s="365" t="str">
        <f>CONCATENATE("цена канала на ",ПГ!$G$2)</f>
        <v>цена канала на 05.09.2018</v>
      </c>
      <c r="D38" s="315"/>
      <c r="E38" s="365" t="str">
        <f>CONCATENATE("цена корпуса на ",ПГ!$G$2)</f>
        <v>цена корпуса на 05.09.2018</v>
      </c>
      <c r="F38" s="316"/>
      <c r="P38" s="362" t="s">
        <v>393</v>
      </c>
      <c r="Q38" s="363" t="s">
        <v>386</v>
      </c>
    </row>
    <row r="39" spans="1:17" ht="13.5" thickBot="1">
      <c r="A39" s="322" t="s">
        <v>323</v>
      </c>
      <c r="B39" s="323" t="s">
        <v>376</v>
      </c>
      <c r="C39" s="324" t="s">
        <v>356</v>
      </c>
      <c r="D39" s="325" t="s">
        <v>377</v>
      </c>
      <c r="E39" s="324" t="s">
        <v>356</v>
      </c>
      <c r="F39" s="325" t="s">
        <v>377</v>
      </c>
      <c r="G39" s="574" t="s">
        <v>522</v>
      </c>
      <c r="P39" s="362" t="s">
        <v>387</v>
      </c>
      <c r="Q39" s="363" t="str">
        <f>CONCATENATE("на ",ПГ!$G$2)</f>
        <v>на 05.09.2018</v>
      </c>
    </row>
    <row r="40" spans="1:17" ht="15.75" thickBot="1" thickTop="1">
      <c r="A40" s="367" t="s">
        <v>286</v>
      </c>
      <c r="B40" s="490"/>
      <c r="C40" s="491">
        <v>8460</v>
      </c>
      <c r="D40" s="492">
        <v>8460</v>
      </c>
      <c r="E40" s="493">
        <v>4180</v>
      </c>
      <c r="F40" s="494">
        <v>4180</v>
      </c>
      <c r="G40" s="586" t="s">
        <v>540</v>
      </c>
      <c r="J40"/>
      <c r="K40"/>
      <c r="L40"/>
      <c r="P40" s="366" t="s">
        <v>394</v>
      </c>
      <c r="Q40" s="364">
        <v>48380</v>
      </c>
    </row>
    <row r="41" spans="1:20" ht="15.75" thickBot="1" thickTop="1">
      <c r="A41" s="329" t="s">
        <v>287</v>
      </c>
      <c r="B41" s="495"/>
      <c r="C41" s="465">
        <v>8460</v>
      </c>
      <c r="D41" s="492">
        <v>8460</v>
      </c>
      <c r="E41" s="496">
        <v>4180</v>
      </c>
      <c r="F41" s="494">
        <v>4180</v>
      </c>
      <c r="P41" s="368" t="s">
        <v>395</v>
      </c>
      <c r="Q41" s="369">
        <v>78620</v>
      </c>
      <c r="T41">
        <f>D40+4*D41+D42+D57+F57+2*D62+6*D61-2*D60</f>
        <v>94070</v>
      </c>
    </row>
    <row r="42" spans="1:17" ht="15" thickBot="1">
      <c r="A42" s="329" t="s">
        <v>284</v>
      </c>
      <c r="B42" s="495"/>
      <c r="C42" s="465">
        <v>6880</v>
      </c>
      <c r="D42" s="492">
        <v>6880</v>
      </c>
      <c r="E42" s="496">
        <v>4250</v>
      </c>
      <c r="F42" s="494">
        <v>4250</v>
      </c>
      <c r="H42" s="501" t="s">
        <v>481</v>
      </c>
      <c r="I42" s="501" t="s">
        <v>386</v>
      </c>
      <c r="J42" s="1"/>
      <c r="P42" s="370" t="s">
        <v>396</v>
      </c>
      <c r="Q42" s="371">
        <v>108860</v>
      </c>
    </row>
    <row r="43" spans="1:17" ht="39.75" thickBot="1" thickTop="1">
      <c r="A43" s="329" t="s">
        <v>36</v>
      </c>
      <c r="B43" s="495"/>
      <c r="C43" s="584">
        <v>16100</v>
      </c>
      <c r="D43" s="823">
        <v>16910</v>
      </c>
      <c r="E43" s="496">
        <v>3850</v>
      </c>
      <c r="F43" s="823">
        <v>3850</v>
      </c>
      <c r="H43" s="501" t="s">
        <v>387</v>
      </c>
      <c r="I43" s="501" t="str">
        <f>CONCATENATE("на ",ПГ!$G$2)</f>
        <v>на 05.09.2018</v>
      </c>
      <c r="J43" s="199"/>
      <c r="P43" s="370" t="s">
        <v>397</v>
      </c>
      <c r="Q43" s="371">
        <v>123970</v>
      </c>
    </row>
    <row r="44" spans="1:17" ht="39.75" thickBot="1" thickTop="1">
      <c r="A44" s="329" t="s">
        <v>382</v>
      </c>
      <c r="B44" s="495"/>
      <c r="C44" s="465">
        <v>8830</v>
      </c>
      <c r="D44" s="492">
        <v>8830</v>
      </c>
      <c r="E44" s="496">
        <v>9200</v>
      </c>
      <c r="F44" s="494">
        <v>9200</v>
      </c>
      <c r="G44" s="568"/>
      <c r="H44" s="501" t="s">
        <v>392</v>
      </c>
      <c r="I44" s="502">
        <v>96100</v>
      </c>
      <c r="J44" s="380" t="s">
        <v>501</v>
      </c>
      <c r="P44" s="370" t="s">
        <v>398</v>
      </c>
      <c r="Q44" s="371">
        <v>139090</v>
      </c>
    </row>
    <row r="45" spans="1:17" ht="39.75" thickBot="1" thickTop="1">
      <c r="A45" s="329" t="s">
        <v>136</v>
      </c>
      <c r="B45" s="495"/>
      <c r="C45" s="465">
        <v>9300</v>
      </c>
      <c r="D45" s="492">
        <v>9300</v>
      </c>
      <c r="E45" s="496">
        <v>4230</v>
      </c>
      <c r="F45" s="494">
        <v>4230</v>
      </c>
      <c r="G45" s="567"/>
      <c r="H45" s="501" t="s">
        <v>478</v>
      </c>
      <c r="I45" s="502">
        <v>187380</v>
      </c>
      <c r="J45" s="380" t="s">
        <v>501</v>
      </c>
      <c r="K45" t="s">
        <v>266</v>
      </c>
      <c r="L45" s="372" t="s">
        <v>386</v>
      </c>
      <c r="M45" t="s">
        <v>538</v>
      </c>
      <c r="P45" s="370" t="s">
        <v>399</v>
      </c>
      <c r="Q45" s="371">
        <v>214690</v>
      </c>
    </row>
    <row r="46" spans="1:17" ht="39.75" thickBot="1" thickTop="1">
      <c r="A46" s="329" t="s">
        <v>516</v>
      </c>
      <c r="B46" s="495"/>
      <c r="C46" s="497">
        <v>0</v>
      </c>
      <c r="D46" s="497">
        <v>0</v>
      </c>
      <c r="E46" s="496">
        <v>6540</v>
      </c>
      <c r="F46" s="497">
        <v>6540</v>
      </c>
      <c r="H46" s="501" t="s">
        <v>479</v>
      </c>
      <c r="I46" s="502">
        <v>216220</v>
      </c>
      <c r="J46" s="380" t="s">
        <v>501</v>
      </c>
      <c r="K46" t="s">
        <v>387</v>
      </c>
      <c r="L46" s="372" t="s">
        <v>535</v>
      </c>
      <c r="M46" s="372" t="s">
        <v>536</v>
      </c>
      <c r="P46" s="370" t="s">
        <v>400</v>
      </c>
      <c r="Q46" s="371">
        <v>108860</v>
      </c>
    </row>
    <row r="47" spans="1:17" ht="39.75" thickBot="1" thickTop="1">
      <c r="A47" s="329" t="s">
        <v>517</v>
      </c>
      <c r="B47" s="495"/>
      <c r="C47" s="497">
        <v>0</v>
      </c>
      <c r="D47" s="497">
        <v>0</v>
      </c>
      <c r="E47" s="496">
        <v>6540</v>
      </c>
      <c r="F47" s="497">
        <v>6540</v>
      </c>
      <c r="H47" s="501" t="s">
        <v>480</v>
      </c>
      <c r="I47" s="502">
        <v>156160</v>
      </c>
      <c r="J47" s="380" t="s">
        <v>501</v>
      </c>
      <c r="K47" s="191" t="s">
        <v>268</v>
      </c>
      <c r="L47" s="485">
        <v>4390</v>
      </c>
      <c r="M47" s="485">
        <v>4790</v>
      </c>
      <c r="N47" s="485">
        <v>6670</v>
      </c>
      <c r="O47" s="567"/>
      <c r="P47" s="373" t="s">
        <v>401</v>
      </c>
      <c r="Q47" s="371">
        <v>27220</v>
      </c>
    </row>
    <row r="48" spans="1:17" ht="35.25" customHeight="1" thickBot="1" thickTop="1">
      <c r="A48" s="337" t="s">
        <v>384</v>
      </c>
      <c r="B48" s="495"/>
      <c r="C48" s="584">
        <v>20810</v>
      </c>
      <c r="D48" s="585">
        <v>21850</v>
      </c>
      <c r="E48" s="496">
        <v>8550</v>
      </c>
      <c r="F48" s="494">
        <v>8550</v>
      </c>
      <c r="K48" s="377" t="s">
        <v>269</v>
      </c>
      <c r="L48" s="485">
        <v>4390</v>
      </c>
      <c r="M48" s="485">
        <v>4790</v>
      </c>
      <c r="N48" s="459">
        <v>0</v>
      </c>
      <c r="O48" s="567"/>
      <c r="P48" s="375" t="s">
        <v>402</v>
      </c>
      <c r="Q48" s="371">
        <v>2270</v>
      </c>
    </row>
    <row r="49" spans="1:17" ht="34.5" customHeight="1" thickBot="1">
      <c r="A49" s="329" t="s">
        <v>546</v>
      </c>
      <c r="B49" s="495"/>
      <c r="C49" s="465">
        <v>8460</v>
      </c>
      <c r="D49" s="492">
        <v>8460</v>
      </c>
      <c r="E49" s="496">
        <v>4180</v>
      </c>
      <c r="F49" s="494">
        <v>4180</v>
      </c>
      <c r="H49" s="379" t="s">
        <v>247</v>
      </c>
      <c r="I49" s="382">
        <v>41710</v>
      </c>
      <c r="J49" s="380" t="s">
        <v>501</v>
      </c>
      <c r="K49" s="377" t="s">
        <v>270</v>
      </c>
      <c r="L49" s="485">
        <v>4390</v>
      </c>
      <c r="M49" s="485">
        <v>4790</v>
      </c>
      <c r="N49" s="459">
        <v>0</v>
      </c>
      <c r="O49" s="567"/>
      <c r="P49" s="373" t="s">
        <v>403</v>
      </c>
      <c r="Q49" s="376">
        <v>10580</v>
      </c>
    </row>
    <row r="50" spans="1:15" ht="30.75" customHeight="1" thickBot="1">
      <c r="A50" s="329" t="s">
        <v>385</v>
      </c>
      <c r="B50" s="495"/>
      <c r="C50" s="492">
        <v>16340</v>
      </c>
      <c r="D50" s="492">
        <v>16340</v>
      </c>
      <c r="E50" s="494">
        <v>9180</v>
      </c>
      <c r="F50" s="494">
        <v>9180</v>
      </c>
      <c r="H50" s="379" t="s">
        <v>494</v>
      </c>
      <c r="I50" s="382">
        <v>53450</v>
      </c>
      <c r="J50" s="380" t="s">
        <v>501</v>
      </c>
      <c r="K50" s="377" t="s">
        <v>271</v>
      </c>
      <c r="L50" s="485">
        <v>4390</v>
      </c>
      <c r="M50" s="485">
        <v>4790</v>
      </c>
      <c r="N50" s="459">
        <v>0</v>
      </c>
      <c r="O50" s="567"/>
    </row>
    <row r="51" spans="1:14" ht="33.75" customHeight="1" thickBot="1">
      <c r="A51" s="329" t="s">
        <v>333</v>
      </c>
      <c r="B51" s="495"/>
      <c r="C51" s="465">
        <v>8460</v>
      </c>
      <c r="D51" s="492">
        <v>8460</v>
      </c>
      <c r="E51" s="496">
        <v>4180</v>
      </c>
      <c r="F51" s="494">
        <v>4180</v>
      </c>
      <c r="G51" s="381"/>
      <c r="H51" s="563" t="s">
        <v>248</v>
      </c>
      <c r="I51" s="564">
        <v>107570</v>
      </c>
      <c r="J51" s="380" t="s">
        <v>501</v>
      </c>
      <c r="K51" s="377" t="s">
        <v>272</v>
      </c>
      <c r="L51" s="486">
        <v>2050</v>
      </c>
      <c r="N51" s="459">
        <v>0</v>
      </c>
    </row>
    <row r="52" spans="1:21" ht="38.25" customHeight="1" thickBot="1">
      <c r="A52" s="329" t="s">
        <v>389</v>
      </c>
      <c r="B52" s="495"/>
      <c r="C52" s="465">
        <v>9350</v>
      </c>
      <c r="D52" s="492">
        <v>9350</v>
      </c>
      <c r="E52" s="496">
        <v>9170</v>
      </c>
      <c r="F52" s="494">
        <v>9170</v>
      </c>
      <c r="G52" s="381"/>
      <c r="K52" s="377" t="s">
        <v>273</v>
      </c>
      <c r="L52" s="485">
        <v>4390</v>
      </c>
      <c r="M52" s="485">
        <v>4790</v>
      </c>
      <c r="N52" s="459">
        <v>0</v>
      </c>
      <c r="O52" s="567"/>
      <c r="P52" s="329" t="s">
        <v>335</v>
      </c>
      <c r="Q52" s="495">
        <v>3930</v>
      </c>
      <c r="R52" s="465">
        <v>8060</v>
      </c>
      <c r="S52" s="492">
        <v>8060</v>
      </c>
      <c r="T52" s="496">
        <v>4580</v>
      </c>
      <c r="U52" s="494">
        <v>4580</v>
      </c>
    </row>
    <row r="53" spans="1:21" ht="45" customHeight="1" thickBot="1">
      <c r="A53" s="329" t="s">
        <v>48</v>
      </c>
      <c r="B53" s="495"/>
      <c r="C53" s="465">
        <v>18760</v>
      </c>
      <c r="D53" s="823">
        <v>18760</v>
      </c>
      <c r="E53" s="496">
        <v>8970</v>
      </c>
      <c r="F53" s="823">
        <v>8970</v>
      </c>
      <c r="G53" s="381"/>
      <c r="H53" s="379" t="s">
        <v>509</v>
      </c>
      <c r="I53" s="479">
        <v>612490</v>
      </c>
      <c r="J53" s="572"/>
      <c r="K53" s="377" t="s">
        <v>274</v>
      </c>
      <c r="L53" s="485">
        <v>4390</v>
      </c>
      <c r="M53" s="485">
        <v>4790</v>
      </c>
      <c r="N53" s="487">
        <v>6670</v>
      </c>
      <c r="O53" s="567"/>
      <c r="P53" s="329" t="s">
        <v>517</v>
      </c>
      <c r="Q53" s="495">
        <v>5610</v>
      </c>
      <c r="R53" s="497">
        <v>0</v>
      </c>
      <c r="S53" s="497">
        <v>0</v>
      </c>
      <c r="T53" s="496">
        <v>6540</v>
      </c>
      <c r="U53" s="497">
        <v>6540</v>
      </c>
    </row>
    <row r="54" spans="1:21" ht="204.75" thickBot="1">
      <c r="A54" s="329" t="s">
        <v>117</v>
      </c>
      <c r="B54" s="495"/>
      <c r="C54" s="465">
        <v>24090</v>
      </c>
      <c r="D54" s="492">
        <v>24090</v>
      </c>
      <c r="E54" s="496">
        <v>8810</v>
      </c>
      <c r="F54" s="494">
        <v>8810</v>
      </c>
      <c r="G54" s="381"/>
      <c r="H54" s="379" t="s">
        <v>510</v>
      </c>
      <c r="I54" s="480">
        <v>637220</v>
      </c>
      <c r="J54" s="572"/>
      <c r="K54" s="377" t="s">
        <v>275</v>
      </c>
      <c r="L54" s="486">
        <v>6440</v>
      </c>
      <c r="N54" s="459">
        <v>0</v>
      </c>
      <c r="O54" s="567"/>
      <c r="P54" s="329" t="s">
        <v>516</v>
      </c>
      <c r="Q54" s="495">
        <v>5610</v>
      </c>
      <c r="R54" s="497">
        <v>0</v>
      </c>
      <c r="S54" s="497">
        <v>0</v>
      </c>
      <c r="T54" s="496">
        <v>6540</v>
      </c>
      <c r="U54" s="497">
        <v>6540</v>
      </c>
    </row>
    <row r="55" spans="1:15" ht="204.75" thickBot="1">
      <c r="A55" s="329" t="s">
        <v>390</v>
      </c>
      <c r="B55" s="495"/>
      <c r="C55" s="465">
        <v>10440</v>
      </c>
      <c r="D55" s="492">
        <v>10440</v>
      </c>
      <c r="E55" s="496">
        <v>9120</v>
      </c>
      <c r="F55" s="494">
        <v>9120</v>
      </c>
      <c r="G55" s="381"/>
      <c r="H55" s="379" t="s">
        <v>511</v>
      </c>
      <c r="I55" s="481">
        <v>797480</v>
      </c>
      <c r="J55" s="572"/>
      <c r="K55" s="377" t="s">
        <v>276</v>
      </c>
      <c r="L55" s="486">
        <v>6440</v>
      </c>
      <c r="N55" s="487">
        <v>8460</v>
      </c>
      <c r="O55" s="567"/>
    </row>
    <row r="56" spans="1:15" ht="16.5" thickBot="1">
      <c r="A56" s="329" t="s">
        <v>391</v>
      </c>
      <c r="B56" s="495"/>
      <c r="C56" s="465">
        <v>12580</v>
      </c>
      <c r="D56" s="823">
        <v>12580</v>
      </c>
      <c r="E56" s="496">
        <v>9360</v>
      </c>
      <c r="F56" s="823">
        <v>9360</v>
      </c>
      <c r="G56" s="381"/>
      <c r="J56" s="374"/>
      <c r="K56" s="377" t="s">
        <v>277</v>
      </c>
      <c r="L56" s="485">
        <v>4390</v>
      </c>
      <c r="M56" s="485">
        <v>4790</v>
      </c>
      <c r="N56" s="459">
        <v>0</v>
      </c>
      <c r="O56" s="567"/>
    </row>
    <row r="57" spans="1:15" ht="75" customHeight="1" thickBot="1">
      <c r="A57" s="329" t="s">
        <v>392</v>
      </c>
      <c r="B57" s="495"/>
      <c r="C57" s="465">
        <v>9670</v>
      </c>
      <c r="D57" s="492">
        <v>9670</v>
      </c>
      <c r="E57" s="496">
        <v>9500</v>
      </c>
      <c r="F57" s="494">
        <v>9500</v>
      </c>
      <c r="G57" s="381"/>
      <c r="H57" s="181" t="s">
        <v>488</v>
      </c>
      <c r="I57" s="488">
        <v>357340</v>
      </c>
      <c r="J57" s="516">
        <v>42401</v>
      </c>
      <c r="K57" s="377" t="s">
        <v>278</v>
      </c>
      <c r="L57" s="486">
        <v>6440</v>
      </c>
      <c r="N57" s="459">
        <v>0</v>
      </c>
      <c r="O57" s="567"/>
    </row>
    <row r="58" spans="1:14" ht="48.75" customHeight="1" thickBot="1">
      <c r="A58" s="329" t="s">
        <v>404</v>
      </c>
      <c r="B58" s="495"/>
      <c r="C58" s="497">
        <v>10210</v>
      </c>
      <c r="D58" s="497">
        <v>10210</v>
      </c>
      <c r="E58" s="497">
        <v>8750</v>
      </c>
      <c r="F58" s="497">
        <v>8750</v>
      </c>
      <c r="G58" s="378"/>
      <c r="H58" s="181" t="s">
        <v>250</v>
      </c>
      <c r="I58" s="488">
        <v>314030</v>
      </c>
      <c r="J58" s="484" t="s">
        <v>500</v>
      </c>
      <c r="K58" s="377" t="s">
        <v>498</v>
      </c>
      <c r="L58" s="486">
        <v>13200</v>
      </c>
      <c r="N58" s="459">
        <v>0</v>
      </c>
    </row>
    <row r="59" spans="1:12" ht="64.5" thickBot="1">
      <c r="A59" s="353" t="s">
        <v>263</v>
      </c>
      <c r="B59" s="498"/>
      <c r="C59" s="489">
        <v>9670</v>
      </c>
      <c r="D59" s="499">
        <v>9670</v>
      </c>
      <c r="E59" s="500">
        <v>9500</v>
      </c>
      <c r="F59" s="494">
        <v>9500</v>
      </c>
      <c r="H59" s="181" t="s">
        <v>252</v>
      </c>
      <c r="I59" s="483">
        <v>270710</v>
      </c>
      <c r="J59" s="484" t="s">
        <v>500</v>
      </c>
      <c r="K59" s="377" t="s">
        <v>279</v>
      </c>
      <c r="L59" s="486">
        <v>4120</v>
      </c>
    </row>
    <row r="60" spans="2:10" ht="64.5" thickBot="1">
      <c r="B60" s="575" t="s">
        <v>530</v>
      </c>
      <c r="C60" s="489">
        <v>1950</v>
      </c>
      <c r="D60" s="479">
        <f>C60</f>
        <v>1950</v>
      </c>
      <c r="H60" s="181" t="s">
        <v>507</v>
      </c>
      <c r="I60" s="483">
        <v>604500</v>
      </c>
      <c r="J60" s="484" t="s">
        <v>500</v>
      </c>
    </row>
    <row r="61" spans="2:12" ht="53.25" customHeight="1" thickBot="1">
      <c r="B61" s="576" t="s">
        <v>441</v>
      </c>
      <c r="C61" s="358"/>
      <c r="D61" s="480">
        <v>3540</v>
      </c>
      <c r="G61" s="388"/>
      <c r="H61" s="181" t="s">
        <v>504</v>
      </c>
      <c r="I61" s="483">
        <v>794500</v>
      </c>
      <c r="J61" s="484"/>
      <c r="K61" s="386" t="s">
        <v>405</v>
      </c>
      <c r="L61" s="482">
        <v>560</v>
      </c>
    </row>
    <row r="62" spans="2:12" ht="64.5" thickBot="1">
      <c r="B62" s="577" t="s">
        <v>443</v>
      </c>
      <c r="C62" s="358"/>
      <c r="D62" s="481">
        <v>4190</v>
      </c>
      <c r="H62" s="181" t="s">
        <v>254</v>
      </c>
      <c r="I62" s="483">
        <v>380130</v>
      </c>
      <c r="J62" s="484" t="s">
        <v>500</v>
      </c>
      <c r="K62" s="387" t="s">
        <v>406</v>
      </c>
      <c r="L62" s="483">
        <v>270</v>
      </c>
    </row>
    <row r="63" spans="2:12" ht="64.5" thickBot="1">
      <c r="B63" t="s">
        <v>408</v>
      </c>
      <c r="D63" s="462">
        <v>1100</v>
      </c>
      <c r="H63" s="181" t="s">
        <v>257</v>
      </c>
      <c r="I63" s="483">
        <v>604500</v>
      </c>
      <c r="J63" s="484" t="s">
        <v>500</v>
      </c>
      <c r="K63" s="387" t="s">
        <v>407</v>
      </c>
      <c r="L63" s="483">
        <v>440</v>
      </c>
    </row>
    <row r="64" spans="2:12" ht="64.5" thickBot="1">
      <c r="B64" t="s">
        <v>409</v>
      </c>
      <c r="D64" s="462">
        <v>9870</v>
      </c>
      <c r="H64" s="181" t="s">
        <v>260</v>
      </c>
      <c r="I64" s="483">
        <v>928130</v>
      </c>
      <c r="J64" s="484" t="s">
        <v>500</v>
      </c>
      <c r="K64" s="387"/>
      <c r="L64" s="389"/>
    </row>
    <row r="65" spans="2:10" ht="64.5" thickBot="1">
      <c r="B65" t="s">
        <v>534</v>
      </c>
      <c r="D65" s="462">
        <v>2110</v>
      </c>
      <c r="H65" s="181" t="s">
        <v>262</v>
      </c>
      <c r="I65" s="483">
        <v>577130</v>
      </c>
      <c r="J65" s="390">
        <v>42408</v>
      </c>
    </row>
    <row r="66" spans="8:9" ht="13.5" thickBot="1">
      <c r="H66" s="561" t="s">
        <v>265</v>
      </c>
      <c r="I66" s="562">
        <v>250000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L7" sqref="L7"/>
    </sheetView>
  </sheetViews>
  <sheetFormatPr defaultColWidth="11.375" defaultRowHeight="35.25" customHeight="1"/>
  <cols>
    <col min="1" max="1" width="31.875" style="1" customWidth="1"/>
    <col min="2" max="11" width="11.125" style="1" customWidth="1"/>
    <col min="12" max="16384" width="11.375" style="1" customWidth="1"/>
  </cols>
  <sheetData>
    <row r="1" spans="2:6" ht="35.25" customHeight="1">
      <c r="B1" s="311" t="s">
        <v>410</v>
      </c>
      <c r="C1" s="312"/>
      <c r="D1" s="312"/>
      <c r="E1" s="391"/>
      <c r="F1" s="391"/>
    </row>
    <row r="2" spans="1:9" ht="35.25" customHeight="1">
      <c r="A2" s="392"/>
      <c r="B2" s="393" t="s">
        <v>411</v>
      </c>
      <c r="C2" s="394"/>
      <c r="D2" s="278" t="s">
        <v>373</v>
      </c>
      <c r="E2" s="278" t="s">
        <v>412</v>
      </c>
      <c r="F2" s="383" t="s">
        <v>413</v>
      </c>
      <c r="G2" s="395" t="s">
        <v>414</v>
      </c>
      <c r="H2" s="383" t="s">
        <v>415</v>
      </c>
      <c r="I2" s="383" t="s">
        <v>415</v>
      </c>
    </row>
    <row r="3" spans="1:9" ht="35.25" customHeight="1">
      <c r="A3" s="396" t="s">
        <v>323</v>
      </c>
      <c r="B3" s="397" t="s">
        <v>416</v>
      </c>
      <c r="C3" s="398" t="s">
        <v>417</v>
      </c>
      <c r="D3" s="399" t="s">
        <v>376</v>
      </c>
      <c r="E3" s="400" t="s">
        <v>418</v>
      </c>
      <c r="F3" s="385" t="s">
        <v>419</v>
      </c>
      <c r="G3" s="401" t="s">
        <v>420</v>
      </c>
      <c r="H3" s="385" t="s">
        <v>419</v>
      </c>
      <c r="I3" s="385" t="s">
        <v>420</v>
      </c>
    </row>
    <row r="4" spans="1:9" ht="35.25" customHeight="1">
      <c r="A4" s="402" t="str">
        <f aca="true" t="shared" si="0" ref="A4:A26">A30</f>
        <v>C3H8</v>
      </c>
      <c r="B4" s="403">
        <f>ROUND(B30*ПГ!$F$2,-1)</f>
        <v>8060</v>
      </c>
      <c r="C4" s="404">
        <f>ROUND(C30*ПГ!$F$2,-1)</f>
        <v>4580</v>
      </c>
      <c r="E4" s="256">
        <f>VLOOKUP(A4,СГИ!$A$8:$G$27,7,TRUE)</f>
        <v>2</v>
      </c>
      <c r="F4" s="383">
        <f>ROUND(F30*ПГ!$F$2,-1)</f>
        <v>9040</v>
      </c>
      <c r="G4" s="405"/>
      <c r="H4" s="406">
        <f>ROUND(H30*ПГ!$F$2,-1)</f>
        <v>6550</v>
      </c>
      <c r="I4" s="383">
        <f>ROUND(I30*ПГ!$F$2,-1)</f>
        <v>3690</v>
      </c>
    </row>
    <row r="5" spans="1:9" ht="35.25" customHeight="1">
      <c r="A5" s="407" t="str">
        <f t="shared" si="0"/>
        <v>C6H14</v>
      </c>
      <c r="B5" s="408">
        <f>ROUND(B31*ПГ!$F$2,-1)</f>
        <v>8060</v>
      </c>
      <c r="C5" s="409">
        <f>ROUND(C31*ПГ!$F$2,-1)</f>
        <v>4580</v>
      </c>
      <c r="E5" s="410">
        <f>VLOOKUP(A5,СГИ!$A$8:$G$27,7,TRUE)</f>
        <v>2</v>
      </c>
      <c r="F5" s="411">
        <f>ROUND(F31*ПГ!$F$2,-1)</f>
        <v>9040</v>
      </c>
      <c r="G5" s="405"/>
      <c r="H5" s="412">
        <f>ROUND(H31*ПГ!$F$2,-1)</f>
        <v>6550</v>
      </c>
      <c r="I5" s="411">
        <f>ROUND(I31*ПГ!$F$2,-1)</f>
        <v>3690</v>
      </c>
    </row>
    <row r="6" spans="1:9" ht="35.25" customHeight="1">
      <c r="A6" s="407" t="s">
        <v>284</v>
      </c>
      <c r="B6" s="408">
        <f>ROUND(B32*ПГ!$F$2,-1)</f>
        <v>6550</v>
      </c>
      <c r="C6" s="409">
        <f>ROUND(C32*ПГ!$F$2,-1)</f>
        <v>4580</v>
      </c>
      <c r="E6" s="410">
        <f>VLOOKUP(A6,СГИ!$A$8:$G$27,7,TRUE)</f>
        <v>2</v>
      </c>
      <c r="F6" s="411">
        <f>ROUND(F32*ПГ!$F$2,-1)</f>
        <v>7570</v>
      </c>
      <c r="G6" s="405"/>
      <c r="H6" s="412">
        <f>ROUND(H32*ПГ!$F$2,-1)</f>
        <v>6550</v>
      </c>
      <c r="I6" s="411">
        <f>ROUND(I32*ПГ!$F$2,-1)</f>
        <v>3690</v>
      </c>
    </row>
    <row r="7" spans="1:9" ht="35.25" customHeight="1">
      <c r="A7" s="407" t="str">
        <f t="shared" si="0"/>
        <v>CHopt</v>
      </c>
      <c r="B7" s="408">
        <f>ROUND(B33*ПГ!$F$2,-1)</f>
        <v>13900</v>
      </c>
      <c r="C7" s="409">
        <f>ROUND(C33*ПГ!$F$2,-1)</f>
        <v>4580</v>
      </c>
      <c r="E7" s="410">
        <f>VLOOKUP(A7,СГИ!$A$8:$G$27,7,TRUE)</f>
        <v>2</v>
      </c>
      <c r="F7" s="405" t="s">
        <v>421</v>
      </c>
      <c r="G7" s="405"/>
      <c r="H7" s="413"/>
      <c r="I7" s="413"/>
    </row>
    <row r="8" spans="1:7" ht="35.25" customHeight="1">
      <c r="A8" s="407" t="str">
        <f t="shared" si="0"/>
        <v>Cl2</v>
      </c>
      <c r="B8" s="408">
        <f>ROUND(B34*ПГ!$F$2,-1)</f>
        <v>8410</v>
      </c>
      <c r="C8" s="409">
        <f>ROUND(C34*ПГ!$F$2,-1)</f>
        <v>9620</v>
      </c>
      <c r="E8" s="410">
        <f>VLOOKUP(A8,СГИ!$A$8:$G$27,7,TRUE)</f>
        <v>2</v>
      </c>
      <c r="F8" s="411">
        <f>ROUND(F34*ПГ!$F$2,-1)</f>
        <v>10990</v>
      </c>
      <c r="G8" s="411">
        <f>ROUND(G34*ПГ!$F$2,-1)</f>
        <v>0</v>
      </c>
    </row>
    <row r="9" spans="1:7" ht="35.25" customHeight="1">
      <c r="A9" s="407" t="str">
        <f t="shared" si="0"/>
        <v>CO</v>
      </c>
      <c r="B9" s="408">
        <f>ROUND(B35*ПГ!$F$2,-1)</f>
        <v>8690</v>
      </c>
      <c r="C9" s="409">
        <f>ROUND(C35*ПГ!$F$2,-1)</f>
        <v>4580</v>
      </c>
      <c r="E9" s="410">
        <f>VLOOKUP(A9,СГИ!$A$8:$G$27,7,TRUE)</f>
        <v>2</v>
      </c>
      <c r="F9" s="411">
        <f>ROUND(F35*ПГ!$F$2,-1)</f>
        <v>8690</v>
      </c>
      <c r="G9" s="411">
        <f>ROUND(G35*ПГ!$F$2,-1)</f>
        <v>0</v>
      </c>
    </row>
    <row r="10" spans="1:9" ht="35.25" customHeight="1">
      <c r="A10" s="407" t="str">
        <f t="shared" si="0"/>
        <v>CO как горючий</v>
      </c>
      <c r="B10" s="408">
        <f>ROUND(B36*ПГ!$F$2,-1)</f>
        <v>8060</v>
      </c>
      <c r="C10" s="409">
        <f>ROUND(C36*ПГ!$F$2,-1)</f>
        <v>4580</v>
      </c>
      <c r="E10" s="410">
        <f>VLOOKUP(A10,СГИ!$A$8:$G$27,7,TRUE)</f>
        <v>0</v>
      </c>
      <c r="F10" s="411">
        <f>ROUND(F36*ПГ!$F$2,-1)</f>
        <v>9040</v>
      </c>
      <c r="G10" s="411">
        <f>ROUND(G36*ПГ!$F$2,-1)</f>
        <v>0</v>
      </c>
      <c r="H10" s="412">
        <f>ROUND(H36*ПГ!$F$2,-1)</f>
        <v>6550</v>
      </c>
      <c r="I10" s="411">
        <f>ROUND(I36*ПГ!$F$2,-1)</f>
        <v>3690</v>
      </c>
    </row>
    <row r="11" spans="1:7" ht="35.25" customHeight="1">
      <c r="A11" s="414" t="str">
        <f t="shared" si="0"/>
        <v>CO+CH4</v>
      </c>
      <c r="B11" s="415">
        <f>B6+B9</f>
        <v>15240</v>
      </c>
      <c r="C11" s="416">
        <f>ROUND(C37*ПГ!$F$2,-1)</f>
        <v>6540</v>
      </c>
      <c r="E11" s="417" t="s">
        <v>422</v>
      </c>
      <c r="F11" s="418">
        <f>ROUND((F37+470)*ПГ!$F$2,-1)</f>
        <v>17190</v>
      </c>
      <c r="G11" s="405"/>
    </row>
    <row r="12" spans="1:8" ht="35.25" customHeight="1">
      <c r="A12" s="414" t="str">
        <f t="shared" si="0"/>
        <v>CO+гор.газ</v>
      </c>
      <c r="B12" s="419">
        <f>B9+MAX(B4,B5,B10,B15)</f>
        <v>16750</v>
      </c>
      <c r="C12" s="416">
        <f>ROUND(C38*ПГ!$F$2,-1)</f>
        <v>6540</v>
      </c>
      <c r="E12" s="417" t="s">
        <v>422</v>
      </c>
      <c r="F12" s="420">
        <f>ROUND((F38+470)*ПГ!$F$2,-1)</f>
        <v>18680</v>
      </c>
      <c r="G12" s="405"/>
      <c r="H12" s="413"/>
    </row>
    <row r="13" spans="1:7" ht="35.25" customHeight="1">
      <c r="A13" s="407" t="str">
        <f t="shared" si="0"/>
        <v>CO2</v>
      </c>
      <c r="B13" s="408">
        <f>ROUND(B39*ПГ!$F$2,-1)</f>
        <v>18880</v>
      </c>
      <c r="C13" s="409">
        <f>ROUND(C39*ПГ!$F$2,-1)</f>
        <v>9490</v>
      </c>
      <c r="E13" s="410">
        <f>VLOOKUP(A13,СГИ!$A$8:$G$27,7,TRUE)</f>
        <v>1</v>
      </c>
      <c r="F13" s="411">
        <f>ROUND(F39*ПГ!$F$2,-1)</f>
        <v>24540</v>
      </c>
      <c r="G13" s="411">
        <f>ROUND(G39*ПГ!$F$2,-1)</f>
        <v>0</v>
      </c>
    </row>
    <row r="14" spans="1:16" s="199" customFormat="1" ht="35.25" customHeight="1">
      <c r="A14" s="407" t="str">
        <f t="shared" si="0"/>
        <v>F2</v>
      </c>
      <c r="B14" s="408">
        <f>ROUND(B40*ПГ!$F$2,-1)</f>
        <v>21070</v>
      </c>
      <c r="C14" s="409">
        <f>ROUND(C40*ПГ!$F$2,-1)</f>
        <v>9960</v>
      </c>
      <c r="D14" s="1"/>
      <c r="E14" s="410">
        <f>VLOOKUP(A14,СГИ!$A$8:$G$27,7,TRUE)</f>
        <v>2</v>
      </c>
      <c r="F14" s="411">
        <f>ROUND(F40*ПГ!$F$2,-1)</f>
        <v>28070</v>
      </c>
      <c r="G14" s="411">
        <f>ROUND(G40*ПГ!$F$2,-1)</f>
        <v>0</v>
      </c>
      <c r="H14" s="1"/>
      <c r="I14" s="1"/>
      <c r="M14" s="1"/>
      <c r="N14" s="1"/>
      <c r="O14" s="1"/>
      <c r="P14" s="1"/>
    </row>
    <row r="15" spans="1:16" s="199" customFormat="1" ht="35.25" customHeight="1">
      <c r="A15" s="407" t="str">
        <f t="shared" si="0"/>
        <v>H2</v>
      </c>
      <c r="B15" s="408">
        <f>ROUND(B41*ПГ!$F$2,-1)</f>
        <v>8060</v>
      </c>
      <c r="C15" s="409">
        <f>ROUND(C41*ПГ!$F$2,-1)</f>
        <v>4580</v>
      </c>
      <c r="D15" s="1"/>
      <c r="E15" s="410">
        <f>VLOOKUP(A15,СГИ!$A$8:$G$27,7,TRUE)</f>
        <v>2</v>
      </c>
      <c r="F15" s="411">
        <f>ROUND(F41*ПГ!$F$2,-1)</f>
        <v>9040</v>
      </c>
      <c r="G15" s="411">
        <f>ROUND(G41*ПГ!$F$2,-1)</f>
        <v>0</v>
      </c>
      <c r="H15" s="412">
        <f>ROUND(H41*ПГ!$F$2,-1)</f>
        <v>6550</v>
      </c>
      <c r="I15" s="411">
        <f>ROUND(I41*ПГ!$F$2,-1)</f>
        <v>3690</v>
      </c>
      <c r="M15" s="1"/>
      <c r="N15" s="1"/>
      <c r="O15" s="1"/>
      <c r="P15" s="1"/>
    </row>
    <row r="16" spans="1:8" ht="35.25" customHeight="1">
      <c r="A16" s="407" t="str">
        <f t="shared" si="0"/>
        <v>H2S</v>
      </c>
      <c r="B16" s="408">
        <f>ROUND(B42*ПГ!$F$2,-1)</f>
        <v>8900</v>
      </c>
      <c r="C16" s="409">
        <f>ROUND(C42*ПГ!$F$2,-1)</f>
        <v>9620</v>
      </c>
      <c r="E16" s="421">
        <f>VLOOKUP(A16,СГИ!$A$8:$G$27,7,TRUE)</f>
        <v>1</v>
      </c>
      <c r="F16" s="411">
        <f>ROUND(F42*ПГ!$F$2,-1)</f>
        <v>11810</v>
      </c>
      <c r="G16" s="411">
        <f>ROUND(G42*ПГ!$F$2,-1)</f>
        <v>0</v>
      </c>
      <c r="H16" s="199"/>
    </row>
    <row r="17" spans="1:8" ht="35.25" customHeight="1">
      <c r="A17" s="407" t="str">
        <f t="shared" si="0"/>
        <v>HCl</v>
      </c>
      <c r="B17" s="408">
        <f>ROUND(B43*ПГ!$F$2,-1)</f>
        <v>19550</v>
      </c>
      <c r="C17" s="409">
        <f>ROUND(C43*ПГ!$F$2,-1)</f>
        <v>9960</v>
      </c>
      <c r="E17" s="421">
        <f>VLOOKUP(A17,СГИ!$A$8:$G$27,7,TRUE)</f>
        <v>1</v>
      </c>
      <c r="F17" s="422">
        <f>ROUND(F43*ПГ!$F$2,-1)</f>
        <v>21070</v>
      </c>
      <c r="G17" s="411">
        <f>ROUND(G43*ПГ!$F$2,-1)</f>
        <v>0</v>
      </c>
      <c r="H17" s="199"/>
    </row>
    <row r="18" spans="1:7" ht="35.25" customHeight="1">
      <c r="A18" s="407" t="str">
        <f t="shared" si="0"/>
        <v>HF</v>
      </c>
      <c r="B18" s="408">
        <f>ROUND(B44*ПГ!$F$2,-1)</f>
        <v>22720</v>
      </c>
      <c r="C18" s="409">
        <f>ROUND(C44*ПГ!$F$2,-1)</f>
        <v>9960</v>
      </c>
      <c r="E18" s="410">
        <f>VLOOKUP(A18,СГИ!$A$8:$G$27,7,TRUE)</f>
        <v>2</v>
      </c>
      <c r="F18" s="411">
        <f>ROUND(F44*ПГ!$F$2,-1)</f>
        <v>28070</v>
      </c>
      <c r="G18" s="411">
        <f>ROUND(G44*ПГ!$F$2,-1)</f>
        <v>0</v>
      </c>
    </row>
    <row r="19" spans="1:7" ht="35.25" customHeight="1">
      <c r="A19" s="407" t="str">
        <f t="shared" si="0"/>
        <v>NH3</v>
      </c>
      <c r="B19" s="408">
        <f>ROUND(B45*ПГ!$F$2,-1)</f>
        <v>9940</v>
      </c>
      <c r="C19" s="409">
        <f>ROUND(C45*ПГ!$F$2,-1)</f>
        <v>9620</v>
      </c>
      <c r="E19" s="410">
        <f>VLOOKUP(A19,СГИ!$A$8:$G$27,7,TRUE)</f>
        <v>3</v>
      </c>
      <c r="F19" s="411">
        <f>ROUND(F45*ПГ!$F$2,-1)</f>
        <v>13020</v>
      </c>
      <c r="G19" s="411">
        <f>ROUND(G45*ПГ!$F$2,-1)</f>
        <v>0</v>
      </c>
    </row>
    <row r="20" spans="1:7" ht="35.25" customHeight="1">
      <c r="A20" s="407" t="str">
        <f t="shared" si="0"/>
        <v>NO2</v>
      </c>
      <c r="B20" s="423">
        <f>ROUND(B46*ПГ!$F$2,-1)</f>
        <v>11980</v>
      </c>
      <c r="C20" s="409">
        <f>ROUND(C46*ПГ!$F$2,-1)</f>
        <v>9960</v>
      </c>
      <c r="E20" s="410">
        <f>VLOOKUP(A20,СГИ!$A$8:$G$27,7,TRUE)</f>
        <v>1</v>
      </c>
      <c r="F20" s="422">
        <f>ROUND(F46*ПГ!$F$2,-1)</f>
        <v>15150</v>
      </c>
      <c r="G20" s="411">
        <f>ROUND(G46*ПГ!$F$2,-1)</f>
        <v>0</v>
      </c>
    </row>
    <row r="21" spans="1:8" ht="35.25" customHeight="1">
      <c r="A21" s="407" t="str">
        <f t="shared" si="0"/>
        <v>O2</v>
      </c>
      <c r="B21" s="408">
        <f>ROUND(B47*ПГ!$F$2,-1)</f>
        <v>9210</v>
      </c>
      <c r="C21" s="409">
        <f>ROUND(C47*ПГ!$F$2,-1)</f>
        <v>9960</v>
      </c>
      <c r="E21" s="410">
        <f>VLOOKUP(A21,СГИ!$A$8:$G$27,7,TRUE)</f>
        <v>1</v>
      </c>
      <c r="F21" s="424">
        <f>ROUND(F47*ПГ!$F$2,-1)</f>
        <v>11420</v>
      </c>
      <c r="G21" s="411">
        <f>ROUND(G47*ПГ!$F$2,-1)</f>
        <v>0</v>
      </c>
      <c r="H21" s="425"/>
    </row>
    <row r="22" spans="1:7" ht="35.25" customHeight="1">
      <c r="A22" s="407" t="str">
        <f t="shared" si="0"/>
        <v>O3</v>
      </c>
      <c r="B22" s="408">
        <f>ROUND(B48*ПГ!$F$2,-1)</f>
        <v>9720</v>
      </c>
      <c r="C22" s="409">
        <f>ROUND(C48*ПГ!$F$2,-1)</f>
        <v>14750</v>
      </c>
      <c r="E22" s="410">
        <f>VLOOKUP(A22,СГИ!$A$8:$G$27,7,TRUE)</f>
        <v>1</v>
      </c>
      <c r="F22" s="411">
        <f>ROUND(F48*ПГ!$F$2,-1)</f>
        <v>16880</v>
      </c>
      <c r="G22" s="405" t="s">
        <v>421</v>
      </c>
    </row>
    <row r="23" spans="1:7" ht="35.25" customHeight="1">
      <c r="A23" s="414" t="str">
        <f t="shared" si="0"/>
        <v>SO2</v>
      </c>
      <c r="B23" s="415">
        <f>ROUND(B49*ПГ!$F$2,-1)</f>
        <v>9210</v>
      </c>
      <c r="C23" s="416">
        <f>ROUND(C49*ПГ!$F$2,-1)</f>
        <v>9960</v>
      </c>
      <c r="E23" s="417">
        <f>VLOOKUP(A23,СГИ!$A$8:$G$27,7,TRUE)</f>
        <v>1</v>
      </c>
      <c r="F23" s="418">
        <f>ROUND(F49*ПГ!$F$2,-1)</f>
        <v>12200</v>
      </c>
      <c r="G23" s="418">
        <f>ROUND(G49*ПГ!$F$2,-1)</f>
        <v>0</v>
      </c>
    </row>
    <row r="24" spans="1:7" ht="35.25" customHeight="1">
      <c r="A24" s="426" t="str">
        <f t="shared" si="0"/>
        <v>БР-10М, динрельс</v>
      </c>
      <c r="B24" s="427"/>
      <c r="C24" s="428">
        <f>ROUND(C50*ПГ!$F$2,-1)</f>
        <v>1950</v>
      </c>
      <c r="D24" s="429" t="str">
        <f>D50</f>
        <v>10 реле</v>
      </c>
      <c r="G24" s="199"/>
    </row>
    <row r="25" spans="1:9" ht="35.25" customHeight="1">
      <c r="A25" s="430" t="str">
        <f t="shared" si="0"/>
        <v>блок искрозащиты</v>
      </c>
      <c r="B25" s="198"/>
      <c r="C25" s="431">
        <f>ROUND(C51*ПГ!$F$2,-1)</f>
        <v>3540</v>
      </c>
      <c r="D25" s="432" t="str">
        <f>D51</f>
        <v>1 на канал</v>
      </c>
      <c r="F25" s="433" t="s">
        <v>423</v>
      </c>
      <c r="G25" s="434"/>
      <c r="H25" s="434"/>
      <c r="I25" s="435"/>
    </row>
    <row r="26" spans="1:9" s="199" customFormat="1" ht="35.25" customHeight="1">
      <c r="A26" s="436" t="str">
        <f t="shared" si="0"/>
        <v>блок БППН</v>
      </c>
      <c r="B26" s="437"/>
      <c r="C26" s="438">
        <f>ROUND(C52*ПГ!$F$2,-1)</f>
        <v>4190</v>
      </c>
      <c r="D26" s="439" t="str">
        <f>D52</f>
        <v>1 на 4 кан.</v>
      </c>
      <c r="E26" s="1"/>
      <c r="F26" s="440" t="s">
        <v>424</v>
      </c>
      <c r="G26" s="441"/>
      <c r="H26" s="441"/>
      <c r="I26" s="442"/>
    </row>
    <row r="27" spans="1:9" s="199" customFormat="1" ht="35.25" customHeight="1">
      <c r="A27" s="1"/>
      <c r="B27" s="1"/>
      <c r="C27" s="1"/>
      <c r="D27" s="1"/>
      <c r="F27" s="443" t="str">
        <f>CONCATENATE("цена на ",ПГ!$G$2)</f>
        <v>цена на 05.09.2018</v>
      </c>
      <c r="G27" s="444"/>
      <c r="H27" s="444"/>
      <c r="I27" s="445"/>
    </row>
    <row r="28" spans="1:9" s="199" customFormat="1" ht="35.25" customHeight="1">
      <c r="A28" s="446"/>
      <c r="B28" s="447" t="str">
        <f>CONCATENATE("цена на ",ПГ!$G$2)</f>
        <v>цена на 05.09.2018</v>
      </c>
      <c r="C28" s="392"/>
      <c r="D28" s="1"/>
      <c r="F28" s="383" t="s">
        <v>413</v>
      </c>
      <c r="G28" s="413" t="s">
        <v>414</v>
      </c>
      <c r="H28" s="384" t="s">
        <v>415</v>
      </c>
      <c r="I28" s="384" t="s">
        <v>415</v>
      </c>
    </row>
    <row r="29" spans="1:9" s="199" customFormat="1" ht="35.25" customHeight="1">
      <c r="A29" s="195" t="s">
        <v>323</v>
      </c>
      <c r="B29" s="448" t="s">
        <v>425</v>
      </c>
      <c r="C29" s="449" t="s">
        <v>417</v>
      </c>
      <c r="D29" s="1"/>
      <c r="F29" s="385" t="s">
        <v>419</v>
      </c>
      <c r="G29" s="444" t="s">
        <v>420</v>
      </c>
      <c r="H29" s="385" t="s">
        <v>419</v>
      </c>
      <c r="I29" s="385" t="s">
        <v>420</v>
      </c>
    </row>
    <row r="30" spans="1:9" s="199" customFormat="1" ht="35.25" customHeight="1">
      <c r="A30" s="367" t="s">
        <v>426</v>
      </c>
      <c r="B30" s="463">
        <v>8060</v>
      </c>
      <c r="C30" s="464">
        <v>4580</v>
      </c>
      <c r="D30" s="1" t="s">
        <v>520</v>
      </c>
      <c r="F30" s="468">
        <v>9040</v>
      </c>
      <c r="G30" s="450"/>
      <c r="H30" s="468">
        <v>6550</v>
      </c>
      <c r="I30" s="468">
        <v>3690</v>
      </c>
    </row>
    <row r="31" spans="1:9" s="199" customFormat="1" ht="35.25" customHeight="1">
      <c r="A31" s="329" t="s">
        <v>427</v>
      </c>
      <c r="B31" s="461">
        <v>8060</v>
      </c>
      <c r="C31" s="460">
        <v>4580</v>
      </c>
      <c r="D31" s="1" t="s">
        <v>521</v>
      </c>
      <c r="F31" s="469">
        <v>9040</v>
      </c>
      <c r="G31" s="451"/>
      <c r="H31" s="469">
        <v>6550</v>
      </c>
      <c r="I31" s="469">
        <v>3690</v>
      </c>
    </row>
    <row r="32" spans="1:9" s="199" customFormat="1" ht="35.25" customHeight="1">
      <c r="A32" s="329" t="s">
        <v>428</v>
      </c>
      <c r="B32" s="461">
        <v>6550</v>
      </c>
      <c r="C32" s="460">
        <v>4580</v>
      </c>
      <c r="D32" s="1"/>
      <c r="F32" s="469">
        <v>7570</v>
      </c>
      <c r="G32" s="451"/>
      <c r="H32" s="469">
        <v>6550</v>
      </c>
      <c r="I32" s="469">
        <v>3690</v>
      </c>
    </row>
    <row r="33" spans="1:9" s="199" customFormat="1" ht="35.25" customHeight="1">
      <c r="A33" s="329" t="s">
        <v>36</v>
      </c>
      <c r="B33" s="461">
        <v>13900</v>
      </c>
      <c r="C33" s="460">
        <v>4580</v>
      </c>
      <c r="D33" s="1"/>
      <c r="F33" s="470" t="s">
        <v>421</v>
      </c>
      <c r="G33" s="451"/>
      <c r="H33" s="476"/>
      <c r="I33" s="469"/>
    </row>
    <row r="34" spans="1:9" s="199" customFormat="1" ht="35.25" customHeight="1">
      <c r="A34" s="329" t="s">
        <v>429</v>
      </c>
      <c r="B34" s="461">
        <v>8410</v>
      </c>
      <c r="C34" s="460">
        <v>9620</v>
      </c>
      <c r="D34" s="1"/>
      <c r="F34" s="470">
        <v>10990</v>
      </c>
      <c r="G34" s="452">
        <v>0</v>
      </c>
      <c r="H34" s="476"/>
      <c r="I34" s="469"/>
    </row>
    <row r="35" spans="1:13" ht="35.25" customHeight="1">
      <c r="A35" s="329" t="s">
        <v>136</v>
      </c>
      <c r="B35" s="461">
        <v>8690</v>
      </c>
      <c r="C35" s="460">
        <v>4580</v>
      </c>
      <c r="E35" s="199"/>
      <c r="F35" s="470">
        <v>8690</v>
      </c>
      <c r="G35" s="453">
        <v>0</v>
      </c>
      <c r="H35" s="476"/>
      <c r="I35" s="469"/>
      <c r="J35" s="199"/>
      <c r="K35" s="199"/>
      <c r="L35" s="199"/>
      <c r="M35" s="199"/>
    </row>
    <row r="36" spans="1:13" ht="35.25" customHeight="1">
      <c r="A36" s="329" t="s">
        <v>335</v>
      </c>
      <c r="B36" s="461">
        <v>8060</v>
      </c>
      <c r="C36" s="460">
        <v>4580</v>
      </c>
      <c r="E36" s="199"/>
      <c r="F36" s="471">
        <v>9040</v>
      </c>
      <c r="G36" s="451">
        <v>0</v>
      </c>
      <c r="H36" s="471">
        <v>6550</v>
      </c>
      <c r="I36" s="469">
        <v>3690</v>
      </c>
      <c r="J36" s="199"/>
      <c r="K36" s="199"/>
      <c r="L36" s="199"/>
      <c r="M36" s="199"/>
    </row>
    <row r="37" spans="1:13" ht="35.25" customHeight="1">
      <c r="A37" s="329" t="s">
        <v>430</v>
      </c>
      <c r="B37" s="465">
        <v>15250</v>
      </c>
      <c r="C37" s="460">
        <v>6540</v>
      </c>
      <c r="E37" s="199"/>
      <c r="F37" s="472">
        <v>16720</v>
      </c>
      <c r="G37" s="451"/>
      <c r="H37" s="472"/>
      <c r="I37" s="472"/>
      <c r="J37" s="199"/>
      <c r="K37" s="199"/>
      <c r="L37" s="199"/>
      <c r="M37" s="199"/>
    </row>
    <row r="38" spans="1:13" ht="35.25" customHeight="1">
      <c r="A38" s="329" t="s">
        <v>182</v>
      </c>
      <c r="B38" s="461">
        <v>16760</v>
      </c>
      <c r="C38" s="460">
        <v>6540</v>
      </c>
      <c r="E38" s="199"/>
      <c r="F38" s="473">
        <v>18210</v>
      </c>
      <c r="G38" s="451"/>
      <c r="H38" s="477"/>
      <c r="I38" s="477"/>
      <c r="J38" s="199"/>
      <c r="K38" s="199"/>
      <c r="L38" s="199"/>
      <c r="M38" s="199"/>
    </row>
    <row r="39" spans="1:13" ht="35.25" customHeight="1">
      <c r="A39" s="329" t="s">
        <v>431</v>
      </c>
      <c r="B39" s="461">
        <v>18880</v>
      </c>
      <c r="C39" s="460">
        <v>9490</v>
      </c>
      <c r="E39" s="199"/>
      <c r="F39" s="474">
        <v>24540</v>
      </c>
      <c r="G39" s="452">
        <v>0</v>
      </c>
      <c r="H39" s="478"/>
      <c r="I39" s="469"/>
      <c r="J39" s="199"/>
      <c r="K39" s="199"/>
      <c r="L39" s="199"/>
      <c r="M39" s="199"/>
    </row>
    <row r="40" spans="1:13" ht="35.25" customHeight="1">
      <c r="A40" s="329" t="s">
        <v>432</v>
      </c>
      <c r="B40" s="461">
        <v>21070</v>
      </c>
      <c r="C40" s="460">
        <v>9960</v>
      </c>
      <c r="E40" s="199"/>
      <c r="F40" s="475">
        <v>28070</v>
      </c>
      <c r="G40" s="454">
        <v>0</v>
      </c>
      <c r="H40" s="478"/>
      <c r="I40" s="471"/>
      <c r="J40" s="199"/>
      <c r="K40" s="199"/>
      <c r="L40" s="199"/>
      <c r="M40" s="199"/>
    </row>
    <row r="41" spans="1:13" ht="35.25" customHeight="1">
      <c r="A41" s="329" t="s">
        <v>433</v>
      </c>
      <c r="B41" s="461">
        <v>8060</v>
      </c>
      <c r="C41" s="460">
        <v>4580</v>
      </c>
      <c r="E41" s="199"/>
      <c r="F41" s="475">
        <v>9040</v>
      </c>
      <c r="G41" s="454">
        <v>0</v>
      </c>
      <c r="H41" s="478">
        <v>6550</v>
      </c>
      <c r="I41" s="469">
        <v>3690</v>
      </c>
      <c r="J41" s="199"/>
      <c r="K41" s="199"/>
      <c r="L41" s="199"/>
      <c r="M41" s="199"/>
    </row>
    <row r="42" spans="1:13" ht="35.25" customHeight="1">
      <c r="A42" s="329" t="s">
        <v>434</v>
      </c>
      <c r="B42" s="461">
        <v>8900</v>
      </c>
      <c r="C42" s="460">
        <v>9620</v>
      </c>
      <c r="E42" s="199"/>
      <c r="F42" s="475">
        <v>11810</v>
      </c>
      <c r="G42" s="454">
        <v>0</v>
      </c>
      <c r="H42" s="478"/>
      <c r="I42" s="471"/>
      <c r="J42" s="199"/>
      <c r="K42" s="199"/>
      <c r="L42" s="199"/>
      <c r="M42" s="199"/>
    </row>
    <row r="43" spans="1:13" ht="35.25" customHeight="1">
      <c r="A43" s="329" t="s">
        <v>48</v>
      </c>
      <c r="B43" s="461">
        <v>19550</v>
      </c>
      <c r="C43" s="460">
        <v>9960</v>
      </c>
      <c r="E43" s="199"/>
      <c r="F43" s="475">
        <v>21070</v>
      </c>
      <c r="G43" s="454">
        <v>0</v>
      </c>
      <c r="H43" s="478"/>
      <c r="I43" s="471"/>
      <c r="J43" s="199"/>
      <c r="K43" s="199"/>
      <c r="L43" s="199"/>
      <c r="M43" s="199"/>
    </row>
    <row r="44" spans="1:13" ht="35.25" customHeight="1">
      <c r="A44" s="329" t="s">
        <v>117</v>
      </c>
      <c r="B44" s="461">
        <v>22720</v>
      </c>
      <c r="C44" s="460">
        <v>9960</v>
      </c>
      <c r="E44" s="199"/>
      <c r="F44" s="475">
        <v>28070</v>
      </c>
      <c r="G44" s="454">
        <v>0</v>
      </c>
      <c r="H44" s="478"/>
      <c r="I44" s="471"/>
      <c r="J44" s="199"/>
      <c r="K44" s="199"/>
      <c r="L44" s="199"/>
      <c r="M44" s="199"/>
    </row>
    <row r="45" spans="1:13" ht="35.25" customHeight="1">
      <c r="A45" s="329" t="s">
        <v>435</v>
      </c>
      <c r="B45" s="461">
        <v>9940</v>
      </c>
      <c r="C45" s="460">
        <v>9620</v>
      </c>
      <c r="E45" s="199"/>
      <c r="F45" s="475">
        <v>13020</v>
      </c>
      <c r="G45" s="454">
        <v>0</v>
      </c>
      <c r="H45" s="478"/>
      <c r="I45" s="471"/>
      <c r="J45" s="199"/>
      <c r="K45" s="199"/>
      <c r="L45" s="199"/>
      <c r="M45" s="199"/>
    </row>
    <row r="46" spans="1:13" ht="35.25" customHeight="1">
      <c r="A46" s="329" t="s">
        <v>436</v>
      </c>
      <c r="B46" s="461">
        <v>11980</v>
      </c>
      <c r="C46" s="460">
        <v>9960</v>
      </c>
      <c r="E46" s="199"/>
      <c r="F46" s="475">
        <v>15150</v>
      </c>
      <c r="G46" s="454">
        <v>0</v>
      </c>
      <c r="H46" s="478"/>
      <c r="I46" s="471"/>
      <c r="J46" s="199"/>
      <c r="K46" s="199"/>
      <c r="L46" s="199"/>
      <c r="M46" s="199"/>
    </row>
    <row r="47" spans="1:13" ht="35.25" customHeight="1">
      <c r="A47" s="329" t="s">
        <v>437</v>
      </c>
      <c r="B47" s="461">
        <v>9210</v>
      </c>
      <c r="C47" s="460">
        <v>9960</v>
      </c>
      <c r="E47" s="199"/>
      <c r="F47" s="474">
        <v>11420</v>
      </c>
      <c r="G47" s="453">
        <v>0</v>
      </c>
      <c r="H47" s="478">
        <v>43230</v>
      </c>
      <c r="I47" s="471"/>
      <c r="J47" s="199"/>
      <c r="K47" s="199"/>
      <c r="L47" s="199"/>
      <c r="M47" s="199"/>
    </row>
    <row r="48" spans="1:13" ht="35.25" customHeight="1">
      <c r="A48" s="329" t="s">
        <v>438</v>
      </c>
      <c r="B48" s="461">
        <v>9720</v>
      </c>
      <c r="C48" s="460">
        <v>14750</v>
      </c>
      <c r="E48" s="199"/>
      <c r="F48" s="471">
        <v>16880</v>
      </c>
      <c r="G48" s="349" t="s">
        <v>421</v>
      </c>
      <c r="H48" s="471"/>
      <c r="I48" s="471"/>
      <c r="J48" s="199"/>
      <c r="K48" s="199"/>
      <c r="L48" s="199"/>
      <c r="M48" s="199"/>
    </row>
    <row r="49" spans="1:13" ht="35.25" customHeight="1">
      <c r="A49" s="353" t="s">
        <v>439</v>
      </c>
      <c r="B49" s="466">
        <v>9210</v>
      </c>
      <c r="C49" s="467">
        <v>9960</v>
      </c>
      <c r="E49" s="199"/>
      <c r="F49" s="472">
        <v>12200</v>
      </c>
      <c r="G49" s="455">
        <v>0</v>
      </c>
      <c r="H49" s="472"/>
      <c r="I49" s="472"/>
      <c r="J49" s="199"/>
      <c r="K49" s="199"/>
      <c r="L49" s="199"/>
      <c r="M49" s="199"/>
    </row>
    <row r="50" spans="1:13" ht="35.25" customHeight="1">
      <c r="A50" s="426" t="str">
        <f>СГИ!B60</f>
        <v>БР-10М, динрельс</v>
      </c>
      <c r="B50" s="413"/>
      <c r="C50" s="479">
        <f>СГИ!D60</f>
        <v>1950</v>
      </c>
      <c r="D50" s="449" t="s">
        <v>440</v>
      </c>
      <c r="E50" s="199"/>
      <c r="L50" s="199"/>
      <c r="M50" s="199"/>
    </row>
    <row r="51" spans="1:13" ht="35.25" customHeight="1">
      <c r="A51" s="456" t="str">
        <f>СГИ!B61</f>
        <v>блок искрозащиты</v>
      </c>
      <c r="B51" s="413"/>
      <c r="C51" s="480">
        <f>СГИ!D61</f>
        <v>3540</v>
      </c>
      <c r="D51" s="457" t="s">
        <v>442</v>
      </c>
      <c r="E51" s="199"/>
      <c r="L51" s="199"/>
      <c r="M51" s="199"/>
    </row>
    <row r="52" spans="1:13" ht="35.25" customHeight="1">
      <c r="A52" s="456" t="str">
        <f>СГИ!B62</f>
        <v>блок БППН</v>
      </c>
      <c r="B52" s="413"/>
      <c r="C52" s="480">
        <f>СГИ!D62</f>
        <v>4190</v>
      </c>
      <c r="D52" s="445" t="s">
        <v>444</v>
      </c>
      <c r="E52" s="199"/>
      <c r="L52" s="199"/>
      <c r="M52" s="199"/>
    </row>
    <row r="53" spans="1:3" ht="35.25" customHeight="1">
      <c r="A53" s="456" t="str">
        <f>СГИ!B63</f>
        <v>наценка на моноблок</v>
      </c>
      <c r="B53" s="413"/>
      <c r="C53" s="480">
        <f>СГИ!D63</f>
        <v>1100</v>
      </c>
    </row>
    <row r="54" spans="1:3" ht="35.25" customHeight="1">
      <c r="A54" s="456" t="str">
        <f>СГИ!B64</f>
        <v>блок коммутации/управления</v>
      </c>
      <c r="B54" s="413"/>
      <c r="C54" s="480">
        <f>СГИ!D64</f>
        <v>9870</v>
      </c>
    </row>
  </sheetData>
  <sheetProtection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Georgy</dc:creator>
  <cp:keywords/>
  <dc:description/>
  <cp:lastModifiedBy>User</cp:lastModifiedBy>
  <dcterms:created xsi:type="dcterms:W3CDTF">2009-04-29T07:53:59Z</dcterms:created>
  <dcterms:modified xsi:type="dcterms:W3CDTF">2020-01-17T06:55:48Z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