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45" yWindow="65356" windowWidth="28800" windowHeight="11835" tabRatio="760" activeTab="1"/>
  </bookViews>
  <sheets>
    <sheet name="ПРАЙС" sheetId="1" r:id="rId1"/>
    <sheet name="И21,И22-стационарные с вын. БД" sheetId="2" r:id="rId2"/>
    <sheet name="И23-стац-моноблоки" sheetId="3" r:id="rId3"/>
    <sheet name="И11-Переносные с вын. БД" sheetId="4" r:id="rId4"/>
    <sheet name="И13-персональные моноблоки" sheetId="5" r:id="rId5"/>
    <sheet name="Кодировка газоанализаторов" sheetId="6" r:id="rId6"/>
    <sheet name="ТС" sheetId="7" state="hidden" r:id="rId7"/>
    <sheet name="сообщения" sheetId="8" state="hidden" r:id="rId8"/>
    <sheet name="СГИ" sheetId="9" state="hidden" r:id="rId9"/>
    <sheet name="СГ1" sheetId="10" state="hidden" r:id="rId10"/>
    <sheet name="ПГ" sheetId="11" state="hidden" r:id="rId11"/>
    <sheet name="Лист1" sheetId="12" state="hidden" r:id="rId12"/>
  </sheets>
  <definedNames>
    <definedName name="CH4_без_индикации">'ПРАЙС'!$B$139</definedName>
    <definedName name="Excel_BuiltIn__FilterDatabase_10">'СГ1'!#REF!</definedName>
    <definedName name="Excel_BuiltIn__FilterDatabase_3">#REF!</definedName>
    <definedName name="Excel_BuiltIn__FilterDatabase_9">'СГИ'!#REF!</definedName>
    <definedName name="OLE_LINK2_1">'ПРАЙС'!#REF!</definedName>
    <definedName name="OLE_LINK3_1">'ПРАЙС'!#REF!</definedName>
    <definedName name="OLE_LINK5_1">'ПРАЙС'!#REF!</definedName>
    <definedName name="Анализатор_остаточного_активного_хлора_ВАКХ_2000">'ПРАЙС'!$B$287</definedName>
    <definedName name="ВАКХ_2000_1">'ПРАЙС'!#REF!</definedName>
    <definedName name="взрывозащищенные_1">'ПРАЙС'!$A$269</definedName>
    <definedName name="взрывопереносные_1">'ПРАЙС'!$B$108</definedName>
    <definedName name="горючие_без_индикации_1">'ПРАЙС'!#REF!</definedName>
    <definedName name="для_колодцев_1">'ПРАЙС'!$A$2</definedName>
    <definedName name="ОКА_92_1">'ПРАЙС'!$B$5</definedName>
    <definedName name="ОКА_92М_1">'ПРАЙС'!#REF!</definedName>
    <definedName name="ОКА_92МТ_1">'ПРАЙС'!#REF!</definedName>
    <definedName name="ОКА_92Т_1">'ПРАЙС'!$B$12</definedName>
    <definedName name="ОКА_92ТТ_1">'ПРАЙС'!$B$26</definedName>
    <definedName name="ОКА_М_переносной_1">'ПРАЙС'!#REF!</definedName>
    <definedName name="ОКА_М_стационарные_1">'ПРАЙС'!#REF!</definedName>
    <definedName name="ОКА_МТ_1">'ПРАЙС'!#REF!</definedName>
    <definedName name="ОКА_МТТ_1">'ПРАЙС'!#REF!</definedName>
    <definedName name="ОКА_Т_1">'ПРАЙС'!#REF!</definedName>
    <definedName name="ОКА_Т_HCl_1">'ПРАЙС'!$B$232</definedName>
    <definedName name="ОКА_ТТ_1">'ПРАЙС'!#REF!</definedName>
    <definedName name="ОКА_ТТТ_1">'ПРАЙС'!#REF!</definedName>
    <definedName name="оптима_1">'ПРАЙС'!$B$278</definedName>
    <definedName name="переносные_для_опасных_производств_1">'ПРАЙС'!$A$88</definedName>
    <definedName name="рН___1014_для_жидкостей">'ПРАЙС'!#REF!</definedName>
    <definedName name="рН_метры_1">'ПРАЙС'!#REF!</definedName>
    <definedName name="рН_метры_для_мяса_или_сыра_1">'ПРАЙС'!#REF!</definedName>
    <definedName name="системаконтр_1">'ПРАЙС'!$A$275</definedName>
    <definedName name="СО_без_индикации_1">'ПРАЙС'!$B$137</definedName>
    <definedName name="средства_поверки_1">'ПРАЙС'!#REF!</definedName>
    <definedName name="стационарные_для_жилкомхоза_1">'ПРАЙС'!#REF!</definedName>
    <definedName name="стационарные_для_котельных_1">'ПРАЙС'!$A$133</definedName>
    <definedName name="стационарные_для_опасных_производств_1">'ПРАЙС'!$A$186</definedName>
    <definedName name="стационарные_фтор_фтористый_водород_1">'ПРАЙС'!$B$256</definedName>
    <definedName name="токсичные_без_индикации_1">'ПРАЙС'!$B$190</definedName>
    <definedName name="уровнемеры_1">'ПРАЙС'!$A$312</definedName>
    <definedName name="Хоббит_F_HF_1">'ПРАЙС'!#REF!</definedName>
    <definedName name="Хоббит_F_или_HF_1">'ПРАЙС'!#REF!</definedName>
    <definedName name="Хоббит_Т_горючие_переносные_1">'ПРАЙС'!#REF!</definedName>
    <definedName name="Хоббит_Т_горючие_стандартные_1">'ПРАЙС'!$B$151</definedName>
    <definedName name="Хоббит_Т_кислород_переносные_1">'ПРАЙС'!#REF!</definedName>
    <definedName name="Хоббит_Т_СО_горючие_стандартные_1">'ПРАЙС'!$B$167</definedName>
    <definedName name="Хоббит_Т_СО_стандартные_1">'ПРАЙС'!$B$145</definedName>
    <definedName name="Хоббит_Т_токсичные_переносные_1">'ПРАЙС'!#REF!</definedName>
    <definedName name="Хоббит_Т_токсичные_стандартные_1">'ПРАЙС'!$B$196</definedName>
  </definedNames>
  <calcPr fullCalcOnLoad="1"/>
</workbook>
</file>

<file path=xl/sharedStrings.xml><?xml version="1.0" encoding="utf-8"?>
<sst xmlns="http://schemas.openxmlformats.org/spreadsheetml/2006/main" count="2307" uniqueCount="930">
  <si>
    <t>Наименование</t>
  </si>
  <si>
    <t>кол-во    каналов</t>
  </si>
  <si>
    <t>измеряемые газы</t>
  </si>
  <si>
    <t>диапазон измерения</t>
  </si>
  <si>
    <t>Переносные приборы с выносным датчиком      для безопасности работ в колодцах, подвалах, цистернах</t>
  </si>
  <si>
    <r>
      <t>О</t>
    </r>
    <r>
      <rPr>
        <b/>
        <vertAlign val="subscript"/>
        <sz val="16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</si>
  <si>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8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14</t>
    </r>
    <r>
      <rPr>
        <b/>
        <sz val="12"/>
        <rFont val="Times New Roman"/>
        <family val="1"/>
      </rPr>
      <t>, CO, H</t>
    </r>
    <r>
      <rPr>
        <b/>
        <vertAlign val="subscript"/>
        <sz val="12"/>
        <rFont val="Times New Roman"/>
        <family val="1"/>
      </rPr>
      <t xml:space="preserve">2,                                                               </t>
    </r>
    <r>
      <rPr>
        <b/>
        <sz val="12"/>
        <rFont val="Times New Roman"/>
        <family val="1"/>
      </rPr>
      <t>CO,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S,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NO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HCl</t>
    </r>
  </si>
  <si>
    <t>№</t>
  </si>
  <si>
    <t xml:space="preserve">Цена руб. за 1 шт. (без НДС и доставки) при объемах закупки </t>
  </si>
  <si>
    <t>каналов</t>
  </si>
  <si>
    <t>1 - 2</t>
  </si>
  <si>
    <t>3 - 4</t>
  </si>
  <si>
    <t>5 и &gt;5</t>
  </si>
  <si>
    <t>Газоанализатор модификации ОКА-92</t>
  </si>
  <si>
    <t>1</t>
  </si>
  <si>
    <r>
      <t>O</t>
    </r>
    <r>
      <rPr>
        <vertAlign val="subscript"/>
        <sz val="10"/>
        <rFont val="Times New Roman"/>
        <family val="1"/>
      </rPr>
      <t>2</t>
    </r>
  </si>
  <si>
    <t>0 - 30 об.%</t>
  </si>
  <si>
    <t>Газоанализатор модификации ОКА-92М с термокаталитическим сенсором</t>
  </si>
  <si>
    <t>2</t>
  </si>
  <si>
    <r>
      <t>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и один из газов: 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CO как горючий</t>
    </r>
  </si>
  <si>
    <r>
      <t>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: 0 - 30 об.%           гор.: 0-10% </t>
    </r>
    <r>
      <rPr>
        <sz val="8"/>
        <rFont val="Times New Roman"/>
        <family val="1"/>
      </rPr>
      <t>НКПР</t>
    </r>
  </si>
  <si>
    <t>Газоанализатор модификации ОКА-92М с оптическим сенсором</t>
  </si>
  <si>
    <r>
      <t>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и один из газов: 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</si>
  <si>
    <r>
      <t>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: 0 - 30 об.%           CH: 0-10% </t>
    </r>
    <r>
      <rPr>
        <sz val="8"/>
        <rFont val="Times New Roman"/>
        <family val="1"/>
      </rPr>
      <t>НКПР</t>
    </r>
  </si>
  <si>
    <t>Газоанализатор модификации ОКА-92МТ с термокаталитическим сенсором</t>
  </si>
  <si>
    <t>3</t>
  </si>
  <si>
    <r>
      <t>O</t>
    </r>
    <r>
      <rPr>
        <vertAlign val="subscript"/>
        <sz val="8"/>
        <rFont val="Times New Roman"/>
        <family val="1"/>
      </rPr>
      <t xml:space="preserve">2, </t>
    </r>
    <r>
      <rPr>
        <sz val="8"/>
        <rFont val="Times New Roman"/>
        <family val="1"/>
      </rPr>
      <t>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CO</t>
    </r>
  </si>
  <si>
    <r>
      <t>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0 - 30 об.%          CO: 0 - 100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      гор.: 0-10% </t>
    </r>
    <r>
      <rPr>
        <sz val="8"/>
        <rFont val="Times New Roman"/>
        <family val="1"/>
      </rPr>
      <t>НКПР</t>
    </r>
  </si>
  <si>
    <t>Газоанализатор модификации ОКА-92МТ с оптическим сенсором</t>
  </si>
  <si>
    <r>
      <t>O</t>
    </r>
    <r>
      <rPr>
        <vertAlign val="subscript"/>
        <sz val="8"/>
        <rFont val="Times New Roman"/>
        <family val="1"/>
      </rPr>
      <t xml:space="preserve">2, </t>
    </r>
    <r>
      <rPr>
        <sz val="8"/>
        <rFont val="Times New Roman"/>
        <family val="1"/>
      </rPr>
      <t>CO и один из газов: CH4, C3H8, C6H14</t>
    </r>
  </si>
  <si>
    <r>
      <t>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0 - 30 об.%          CO: 0 - 100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      CH: 0-10% </t>
    </r>
    <r>
      <rPr>
        <sz val="8"/>
        <rFont val="Times New Roman"/>
        <family val="1"/>
      </rPr>
      <t>НКПР</t>
    </r>
  </si>
  <si>
    <t>дополн. каналы горюч. газов (термокаталитический сенсор)</t>
  </si>
  <si>
    <t>1 - 3</t>
  </si>
  <si>
    <r>
      <t>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CO как горючий</t>
    </r>
  </si>
  <si>
    <t>0 - 10 % НКПР</t>
  </si>
  <si>
    <t>дополн. каналы горюч. газов (оптический сенсор)</t>
  </si>
  <si>
    <t>CHopt</t>
  </si>
  <si>
    <t>дополн. каналы токсич. газов (модификации ОКА-92Т и ОКА-92МТ)</t>
  </si>
  <si>
    <r>
      <t>Cl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S </t>
    </r>
  </si>
  <si>
    <r>
      <t>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S: 0-30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0-12 мг/м</t>
    </r>
    <r>
      <rPr>
        <vertAlign val="superscript"/>
        <sz val="9"/>
        <rFont val="Times New Roman"/>
        <family val="1"/>
      </rPr>
      <t>3</t>
    </r>
  </si>
  <si>
    <r>
      <t>CO, SO</t>
    </r>
    <r>
      <rPr>
        <vertAlign val="subscript"/>
        <sz val="8"/>
        <rFont val="Times New Roman"/>
        <family val="1"/>
      </rPr>
      <t>2</t>
    </r>
  </si>
  <si>
    <r>
      <t>CO: 0-100 мг/м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 xml:space="preserve">  SO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</si>
  <si>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NH</t>
    </r>
    <r>
      <rPr>
        <vertAlign val="subscript"/>
        <sz val="8"/>
        <rFont val="Times New Roman"/>
        <family val="1"/>
      </rPr>
      <t>3</t>
    </r>
  </si>
  <si>
    <r>
      <t>NH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: 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</t>
    </r>
  </si>
  <si>
    <r>
      <t>NO</t>
    </r>
    <r>
      <rPr>
        <vertAlign val="subscript"/>
        <sz val="8"/>
        <rFont val="Times New Roman"/>
        <family val="1"/>
      </rPr>
      <t>2</t>
    </r>
  </si>
  <si>
    <r>
      <t>NO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0-20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</si>
  <si>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t>дополн. каналы хлористого водорода (модификации ОКА-92Т и ОКА-92МТ)</t>
  </si>
  <si>
    <t xml:space="preserve">1 </t>
  </si>
  <si>
    <t>HCl</t>
  </si>
  <si>
    <r>
      <t>HCl: 0-20 мг/м</t>
    </r>
    <r>
      <rPr>
        <vertAlign val="superscript"/>
        <sz val="9"/>
        <rFont val="Times New Roman"/>
        <family val="1"/>
      </rPr>
      <t>3</t>
    </r>
  </si>
  <si>
    <t>дополн. каналы углекисл.газа (модификации ОКА-92Т и ОКА-92МТ)</t>
  </si>
  <si>
    <r>
      <t>CO</t>
    </r>
    <r>
      <rPr>
        <vertAlign val="subscript"/>
        <sz val="8"/>
        <rFont val="Times New Roman"/>
        <family val="1"/>
      </rPr>
      <t>2</t>
    </r>
  </si>
  <si>
    <t>0 - 5 об.%</t>
  </si>
  <si>
    <t>нажать для расчета цены модификаций       ОКА-92М, ОКА-92Т, ОКА-92МТ</t>
  </si>
  <si>
    <t>1 - 5</t>
  </si>
  <si>
    <r>
      <t>включая O</t>
    </r>
    <r>
      <rPr>
        <b/>
        <vertAlign val="subscript"/>
        <sz val="9"/>
        <rFont val="Times New Roman"/>
        <family val="1"/>
      </rPr>
      <t>2</t>
    </r>
  </si>
  <si>
    <t>Газоанализатор модификации ОКА-Т</t>
  </si>
  <si>
    <r>
      <t>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S: 0-30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 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0-12 мг/м</t>
    </r>
    <r>
      <rPr>
        <vertAlign val="superscript"/>
        <sz val="9"/>
        <rFont val="Times New Roman"/>
        <family val="1"/>
      </rPr>
      <t>3</t>
    </r>
  </si>
  <si>
    <t>дополн. каналы токсич. газов (модификация ОКА-Т)</t>
  </si>
  <si>
    <r>
      <t>NH</t>
    </r>
    <r>
      <rPr>
        <vertAlign val="subscript"/>
        <sz val="9"/>
        <rFont val="Times New Roman"/>
        <family val="1"/>
      </rPr>
      <t>3</t>
    </r>
  </si>
  <si>
    <r>
      <t>NH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: 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</si>
  <si>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NO</t>
    </r>
    <r>
      <rPr>
        <vertAlign val="subscript"/>
        <sz val="9"/>
        <rFont val="Times New Roman"/>
        <family val="1"/>
      </rPr>
      <t>2</t>
    </r>
  </si>
  <si>
    <t>дополн. каналы хлористого водорода (модификация ОКА-Т)</t>
  </si>
  <si>
    <t>дополн. каналы углекисл.газа (модификация ОКА-Т)</t>
  </si>
  <si>
    <t>дополн. каналы горюч. газов (модификация ОКА-МТ, термокаталитический сенсор)</t>
  </si>
  <si>
    <t>дополн. каналы горюч. газов (модификация ОКА-МТ, оптический сенсор)</t>
  </si>
  <si>
    <t>нажать для расчета цены модификаций ОКА-Т, ОКА-МТ</t>
  </si>
  <si>
    <r>
      <t>включая какие-либо из газов: CO, H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S, SO</t>
    </r>
    <r>
      <rPr>
        <b/>
        <vertAlign val="subscript"/>
        <sz val="9"/>
        <rFont val="Times New Roman"/>
        <family val="1"/>
      </rPr>
      <t xml:space="preserve">2, </t>
    </r>
    <r>
      <rPr>
        <b/>
        <sz val="9"/>
        <rFont val="Times New Roman"/>
        <family val="1"/>
      </rPr>
      <t>Cl</t>
    </r>
    <r>
      <rPr>
        <b/>
        <vertAlign val="subscript"/>
        <sz val="9"/>
        <rFont val="Times New Roman"/>
        <family val="1"/>
      </rPr>
      <t>2</t>
    </r>
  </si>
  <si>
    <r>
      <t>CO: 0-100 мг/м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SO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</si>
  <si>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t>1 - 4</t>
  </si>
  <si>
    <r>
      <t>включая NH</t>
    </r>
    <r>
      <rPr>
        <b/>
        <vertAlign val="subscript"/>
        <sz val="9"/>
        <rFont val="Times New Roman"/>
        <family val="1"/>
      </rPr>
      <t>3</t>
    </r>
  </si>
  <si>
    <r>
      <t>включая NO</t>
    </r>
    <r>
      <rPr>
        <b/>
        <vertAlign val="subscript"/>
        <sz val="9"/>
        <rFont val="Times New Roman"/>
        <family val="1"/>
      </rPr>
      <t>2</t>
    </r>
  </si>
  <si>
    <t>включая HCl</t>
  </si>
  <si>
    <r>
      <t>CO</t>
    </r>
    <r>
      <rPr>
        <b/>
        <vertAlign val="subscript"/>
        <sz val="9"/>
        <rFont val="Times New Roman"/>
        <family val="1"/>
      </rPr>
      <t>2</t>
    </r>
  </si>
  <si>
    <r>
      <t>включая CO</t>
    </r>
    <r>
      <rPr>
        <b/>
        <vertAlign val="subscript"/>
        <sz val="9"/>
        <rFont val="Times New Roman"/>
        <family val="1"/>
      </rPr>
      <t>2</t>
    </r>
  </si>
  <si>
    <t>Газоанализатор модификации  ОКА-М  с зондом 0.5, 0.75, 1.0 м (по запросу)</t>
  </si>
  <si>
    <r>
      <t>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</si>
  <si>
    <t>0 - 50 % НКПР</t>
  </si>
  <si>
    <t>нажать для расчета цены модификаций ОКА-М</t>
  </si>
  <si>
    <r>
      <t>один газ из: CH</t>
    </r>
    <r>
      <rPr>
        <b/>
        <vertAlign val="subscript"/>
        <sz val="8"/>
        <rFont val="Times New Roman"/>
        <family val="1"/>
      </rPr>
      <t>4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3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8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6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14</t>
    </r>
    <r>
      <rPr>
        <b/>
        <sz val="8"/>
        <rFont val="Times New Roman"/>
        <family val="1"/>
      </rPr>
      <t>, H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>, CO как горючий</t>
    </r>
  </si>
  <si>
    <t>нажать для расчета цены взр/защ. сигнализаторов ОКА-М, записать цифру 1 в голубую ячейку и указать требуемый газ цифрой 1</t>
  </si>
  <si>
    <r>
      <t>один газ из: CH</t>
    </r>
    <r>
      <rPr>
        <b/>
        <vertAlign val="subscript"/>
        <sz val="8"/>
        <rFont val="Times New Roman"/>
        <family val="1"/>
      </rPr>
      <t>4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3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8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6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14</t>
    </r>
    <r>
      <rPr>
        <b/>
        <sz val="8"/>
        <rFont val="Times New Roman"/>
        <family val="1"/>
      </rPr>
      <t>, CO как горючий</t>
    </r>
  </si>
  <si>
    <t>Переносные приборы со встроенным датчиком для безопасности работ в колодцах, подвалах, цистернах</t>
  </si>
  <si>
    <t>Сигнализатор   ОКА-М</t>
  </si>
  <si>
    <r>
      <t>O</t>
    </r>
    <r>
      <rPr>
        <b/>
        <vertAlign val="subscript"/>
        <sz val="10"/>
        <rFont val="Times New Roman"/>
        <family val="1"/>
      </rPr>
      <t>2</t>
    </r>
  </si>
  <si>
    <r>
      <t>Cl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>, H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 xml:space="preserve">S </t>
    </r>
  </si>
  <si>
    <r>
      <t>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 :0-30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 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0-12 мг/м</t>
    </r>
    <r>
      <rPr>
        <vertAlign val="superscript"/>
        <sz val="9"/>
        <rFont val="Times New Roman"/>
        <family val="1"/>
      </rPr>
      <t>3</t>
    </r>
  </si>
  <si>
    <r>
      <t>CO, SO</t>
    </r>
    <r>
      <rPr>
        <b/>
        <vertAlign val="subscript"/>
        <sz val="8"/>
        <rFont val="Times New Roman"/>
        <family val="1"/>
      </rPr>
      <t>2</t>
    </r>
  </si>
  <si>
    <r>
      <t>NH</t>
    </r>
    <r>
      <rPr>
        <b/>
        <vertAlign val="subscript"/>
        <sz val="9"/>
        <rFont val="Times New Roman"/>
        <family val="1"/>
      </rPr>
      <t>3</t>
    </r>
  </si>
  <si>
    <r>
      <t>NO</t>
    </r>
    <r>
      <rPr>
        <b/>
        <vertAlign val="subscript"/>
        <sz val="9"/>
        <rFont val="Times New Roman"/>
        <family val="1"/>
      </rPr>
      <t>2</t>
    </r>
  </si>
  <si>
    <r>
      <t>ВНИМАНИЕ</t>
    </r>
    <r>
      <rPr>
        <b/>
        <sz val="10"/>
        <rFont val="Times New Roman"/>
        <family val="1"/>
      </rPr>
      <t xml:space="preserve">: Для определения содержания угарного газа </t>
    </r>
    <r>
      <rPr>
        <b/>
        <u val="single"/>
        <sz val="10"/>
        <rFont val="Times New Roman"/>
        <family val="1"/>
      </rPr>
      <t>на уровне ПДК РЗ</t>
    </r>
    <r>
      <rPr>
        <b/>
        <sz val="10"/>
        <rFont val="Times New Roman"/>
        <family val="1"/>
      </rPr>
      <t xml:space="preserve"> из вышеуказанных газоанализаторов </t>
    </r>
  </si>
  <si>
    <t xml:space="preserve">могут быть использованы только приборы "ОКА-…Т(…-СО)". </t>
  </si>
  <si>
    <r>
      <t xml:space="preserve">Другие приборы, регистрирующие угарный газ, предназначены для обнаружения </t>
    </r>
    <r>
      <rPr>
        <b/>
        <u val="single"/>
        <sz val="10"/>
        <rFont val="Times New Roman"/>
        <family val="1"/>
      </rPr>
      <t>взрывоопасного содержания</t>
    </r>
  </si>
  <si>
    <t>СО в воздухе.</t>
  </si>
  <si>
    <t xml:space="preserve">Переносные приборы с выносным датчиком    для контроля воздуха рабочей зоны опасных производств  </t>
  </si>
  <si>
    <r>
      <t>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8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14</t>
    </r>
    <r>
      <rPr>
        <b/>
        <sz val="12"/>
        <rFont val="Times New Roman"/>
        <family val="1"/>
      </rPr>
      <t>, CO, H</t>
    </r>
    <r>
      <rPr>
        <b/>
        <vertAlign val="subscript"/>
        <sz val="12"/>
        <rFont val="Times New Roman"/>
        <family val="1"/>
      </rPr>
      <t xml:space="preserve">2,                                                               </t>
    </r>
    <r>
      <rPr>
        <b/>
        <sz val="12"/>
        <rFont val="Times New Roman"/>
        <family val="1"/>
      </rPr>
      <t>CO,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S,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HF</t>
    </r>
  </si>
  <si>
    <t>Газоанализатор горюч. газов Хоббит-Т-..., переносной, с термокаталитическим сенсором</t>
  </si>
  <si>
    <t>5 - 50 % НКПР</t>
  </si>
  <si>
    <t>Газоанализатор горюч. газов Хоббит-Т-..., переносной, с оптическим сенсором</t>
  </si>
  <si>
    <r>
      <t>Газоанализатор                     Хоббит-Т-O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переносной</t>
    </r>
  </si>
  <si>
    <r>
      <t>O</t>
    </r>
    <r>
      <rPr>
        <b/>
        <vertAlign val="subscript"/>
        <sz val="11"/>
        <rFont val="Times New Roman"/>
        <family val="1"/>
      </rPr>
      <t>2</t>
    </r>
  </si>
  <si>
    <t>1 - 30 об.%</t>
  </si>
  <si>
    <r>
      <t>Газоанализатор аммиака     Хоббит-Т-NH</t>
    </r>
    <r>
      <rPr>
        <b/>
        <vertAlign val="subscript"/>
        <sz val="9"/>
        <rFont val="Times New Roman"/>
        <family val="1"/>
      </rPr>
      <t>3</t>
    </r>
    <r>
      <rPr>
        <b/>
        <sz val="9"/>
        <rFont val="Times New Roman"/>
        <family val="1"/>
      </rPr>
      <t>, переносной</t>
    </r>
  </si>
  <si>
    <r>
      <t>NH</t>
    </r>
    <r>
      <rPr>
        <b/>
        <vertAlign val="subscript"/>
        <sz val="11"/>
        <rFont val="Times New Roman"/>
        <family val="1"/>
      </rPr>
      <t>3</t>
    </r>
  </si>
  <si>
    <r>
      <t>20 - 600 мг/м</t>
    </r>
    <r>
      <rPr>
        <vertAlign val="superscript"/>
        <sz val="9"/>
        <rFont val="Times New Roman"/>
        <family val="1"/>
      </rPr>
      <t>3</t>
    </r>
  </si>
  <si>
    <t>Газоанализатор токсич. газа                Хоббит-Т-..., переносной</t>
  </si>
  <si>
    <r>
      <t>Cl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H</t>
    </r>
    <r>
      <rPr>
        <b/>
        <vertAlign val="subscript"/>
        <sz val="11"/>
        <rFont val="Times New Roman"/>
        <family val="1"/>
      </rPr>
      <t>2</t>
    </r>
    <r>
      <rPr>
        <b/>
        <sz val="9"/>
        <rFont val="Times New Roman"/>
        <family val="1"/>
      </rPr>
      <t>S</t>
    </r>
  </si>
  <si>
    <r>
      <t>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S: 5-30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 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1-25 мг/м</t>
    </r>
    <r>
      <rPr>
        <vertAlign val="superscript"/>
        <sz val="9"/>
        <rFont val="Times New Roman"/>
        <family val="1"/>
      </rPr>
      <t>3</t>
    </r>
  </si>
  <si>
    <r>
      <t>CO, SO</t>
    </r>
    <r>
      <rPr>
        <vertAlign val="subscript"/>
        <sz val="10"/>
        <rFont val="Arial Cyr"/>
        <family val="2"/>
      </rPr>
      <t>2</t>
    </r>
  </si>
  <si>
    <r>
      <t>CO: 20-100 мг/м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SO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10-100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</si>
  <si>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Газоанализатор                     Хоббит-Т-O</t>
    </r>
    <r>
      <rPr>
        <b/>
        <vertAlign val="subscript"/>
        <sz val="10"/>
        <rFont val="Times New Roman"/>
        <family val="1"/>
      </rPr>
      <t>3</t>
    </r>
    <r>
      <rPr>
        <b/>
        <sz val="10"/>
        <rFont val="Times New Roman"/>
        <family val="1"/>
      </rPr>
      <t>, переносной</t>
    </r>
  </si>
  <si>
    <r>
      <t>O</t>
    </r>
    <r>
      <rPr>
        <b/>
        <vertAlign val="subscript"/>
        <sz val="11"/>
        <rFont val="Times New Roman"/>
        <family val="1"/>
      </rPr>
      <t>3</t>
    </r>
  </si>
  <si>
    <r>
      <t>100 - 500 мкг/м</t>
    </r>
    <r>
      <rPr>
        <vertAlign val="superscript"/>
        <sz val="9"/>
        <rFont val="Times New Roman"/>
        <family val="1"/>
      </rPr>
      <t>3</t>
    </r>
  </si>
  <si>
    <r>
      <t>Газоанализатор углекисл. газа</t>
    </r>
    <r>
      <rPr>
        <sz val="10"/>
        <rFont val="Times New Roman"/>
        <family val="1"/>
      </rPr>
      <t xml:space="preserve">                </t>
    </r>
    <r>
      <rPr>
        <b/>
        <sz val="10"/>
        <rFont val="Times New Roman"/>
        <family val="1"/>
      </rPr>
      <t>Хоббит-Т-CO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переносной</t>
    </r>
  </si>
  <si>
    <r>
      <t>CO</t>
    </r>
    <r>
      <rPr>
        <b/>
        <vertAlign val="subscript"/>
        <sz val="11"/>
        <rFont val="Times New Roman"/>
        <family val="1"/>
      </rPr>
      <t>2</t>
    </r>
  </si>
  <si>
    <t>0,1 - 5 об.%</t>
  </si>
  <si>
    <r>
      <t>Газоанализатор</t>
    </r>
    <r>
      <rPr>
        <sz val="10"/>
        <rFont val="Times New Roman"/>
        <family val="1"/>
      </rPr>
      <t xml:space="preserve">                       </t>
    </r>
    <r>
      <rPr>
        <b/>
        <sz val="10"/>
        <rFont val="Times New Roman"/>
        <family val="1"/>
      </rPr>
      <t>Хоббит-Т-HF, переносной</t>
    </r>
  </si>
  <si>
    <t>HF</t>
  </si>
  <si>
    <r>
      <t>HF: 0,5-3,0 мг/м</t>
    </r>
    <r>
      <rPr>
        <vertAlign val="superscript"/>
        <sz val="9"/>
        <rFont val="Times New Roman"/>
        <family val="1"/>
      </rPr>
      <t>3</t>
    </r>
  </si>
  <si>
    <t>Возможно изготовление многоканальных переносных газоанализаторов «Хоббит-Т».</t>
  </si>
  <si>
    <t>Нажать для расчета цены многоканальных переносных г/а "Хоббит-Т"</t>
  </si>
  <si>
    <t xml:space="preserve">Взрывозащищенные переносные приборы с выносным датчиком для контроля воздуха рабочей зоны опасных производств </t>
  </si>
  <si>
    <r>
      <t>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8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14</t>
    </r>
    <r>
      <rPr>
        <b/>
        <sz val="12"/>
        <rFont val="Times New Roman"/>
        <family val="1"/>
      </rPr>
      <t>, CO,</t>
    </r>
    <r>
      <rPr>
        <b/>
        <vertAlign val="subscript"/>
        <sz val="12"/>
        <rFont val="Times New Roman"/>
        <family val="1"/>
      </rPr>
      <t xml:space="preserve">                                                               </t>
    </r>
    <r>
      <rPr>
        <b/>
        <sz val="12"/>
        <rFont val="Times New Roman"/>
        <family val="1"/>
      </rPr>
      <t>CO,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S,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 HF</t>
    </r>
  </si>
  <si>
    <r>
      <t>Газоанализатор                     Хоббит-Т-O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переносной</t>
    </r>
    <r>
      <rPr>
        <sz val="10"/>
        <rFont val="Times New Roman"/>
        <family val="1"/>
      </rPr>
      <t xml:space="preserve"> </t>
    </r>
  </si>
  <si>
    <t xml:space="preserve">1 дополн. канал горюч. газа </t>
  </si>
  <si>
    <r>
      <t>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CO как горючий</t>
    </r>
  </si>
  <si>
    <t xml:space="preserve">1 дополн. канал токсич. газа </t>
  </si>
  <si>
    <t>или 1 дополн. канал токсич. газа</t>
  </si>
  <si>
    <r>
      <t>CO, SO</t>
    </r>
    <r>
      <rPr>
        <b/>
        <vertAlign val="subscript"/>
        <sz val="10"/>
        <rFont val="Times New Roman"/>
        <family val="1"/>
      </rPr>
      <t>2</t>
    </r>
  </si>
  <si>
    <t>нажать для расчета цены взр/защ. модификаций переносных г/а "Хоббит-Т", записать цифру 1 в голубую ячейку и указать требуемый газ цифрой 1</t>
  </si>
  <si>
    <t>Газоанализатор горюч. газов Хоббит-Т-..., переносной</t>
  </si>
  <si>
    <t xml:space="preserve">дополн. канал токсич. газа </t>
  </si>
  <si>
    <r>
      <t>включая один газ из: CH</t>
    </r>
    <r>
      <rPr>
        <b/>
        <vertAlign val="subscript"/>
        <sz val="8"/>
        <rFont val="Times New Roman"/>
        <family val="1"/>
      </rPr>
      <t>4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3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8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6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14</t>
    </r>
    <r>
      <rPr>
        <b/>
        <sz val="8"/>
        <rFont val="Times New Roman"/>
        <family val="1"/>
      </rPr>
      <t>, H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>, CO как горючий</t>
    </r>
  </si>
  <si>
    <r>
      <t>Газоанализатор токсич. газа</t>
    </r>
    <r>
      <rPr>
        <sz val="10"/>
        <rFont val="Times New Roman"/>
        <family val="1"/>
      </rPr>
      <t xml:space="preserve">                </t>
    </r>
    <r>
      <rPr>
        <b/>
        <sz val="10"/>
        <rFont val="Times New Roman"/>
        <family val="1"/>
      </rPr>
      <t>Хоббит-Т-..., переносной</t>
    </r>
  </si>
  <si>
    <r>
      <t>Индикатор озона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переносной</t>
    </r>
  </si>
  <si>
    <t>Стационарные приборы для котельных                         и др. объектов газового хозяйства</t>
  </si>
  <si>
    <t>CO</t>
  </si>
  <si>
    <r>
      <t>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8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14</t>
    </r>
    <r>
      <rPr>
        <b/>
        <sz val="12"/>
        <rFont val="Times New Roman"/>
        <family val="1"/>
      </rPr>
      <t>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    CO как горючий</t>
    </r>
  </si>
  <si>
    <t>Газоанализаторы без индикации, ток.вых. 0-5 мА (4-20 мА), RS-232, с выносными датчиками</t>
  </si>
  <si>
    <t xml:space="preserve">Газоанализатор Хоббит-Т-CO                              </t>
  </si>
  <si>
    <r>
      <t>20 - 120 мг/м</t>
    </r>
    <r>
      <rPr>
        <vertAlign val="superscript"/>
        <sz val="9"/>
        <rFont val="Times New Roman"/>
        <family val="1"/>
      </rPr>
      <t>3</t>
    </r>
  </si>
  <si>
    <t>дополнительный канал измерения</t>
  </si>
  <si>
    <r>
      <t>Газоанализатор Хоббит-Т-CH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                             </t>
    </r>
  </si>
  <si>
    <r>
      <t>CH</t>
    </r>
    <r>
      <rPr>
        <b/>
        <vertAlign val="subscript"/>
        <sz val="9"/>
        <rFont val="Times New Roman"/>
        <family val="1"/>
      </rPr>
      <t>4</t>
    </r>
  </si>
  <si>
    <t xml:space="preserve">Газоанализатор Хоббит-Т-гор.газ.                              </t>
  </si>
  <si>
    <r>
      <t>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CO как горючий</t>
    </r>
  </si>
  <si>
    <r>
      <t>Газоанализатор Хоббит-Т-CO-CH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                             </t>
    </r>
  </si>
  <si>
    <r>
      <t>CO+CH</t>
    </r>
    <r>
      <rPr>
        <b/>
        <vertAlign val="subscript"/>
        <sz val="9"/>
        <rFont val="Times New Roman"/>
        <family val="1"/>
      </rPr>
      <t>4</t>
    </r>
  </si>
  <si>
    <r>
      <t>CO: 20-120 мг/м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: 5-50 % </t>
    </r>
    <r>
      <rPr>
        <sz val="8"/>
        <rFont val="Times New Roman"/>
        <family val="1"/>
      </rPr>
      <t>НКПР</t>
    </r>
  </si>
  <si>
    <t>Газоанализаторы c индикацией, ток.вых. 0-5 мА (4-20 мА), RS-232, с выносными датчиками</t>
  </si>
  <si>
    <t xml:space="preserve">Блок коммутации БР-10             </t>
  </si>
  <si>
    <t>канал измерения при общем количестве 1 - 8</t>
  </si>
  <si>
    <t>1 - 8</t>
  </si>
  <si>
    <t>всего до 16</t>
  </si>
  <si>
    <t>канал измерения при общем количестве 9 - 16</t>
  </si>
  <si>
    <t>1 - 16</t>
  </si>
  <si>
    <t>нажать для расчета цены многоканального однокомпонентного г/а</t>
  </si>
  <si>
    <t>n = 1-16</t>
  </si>
  <si>
    <t>нажать для расчета цены многокомпонентного г/а</t>
  </si>
  <si>
    <r>
      <t>S</t>
    </r>
    <r>
      <rPr>
        <b/>
        <sz val="9"/>
        <rFont val="Times New Roman"/>
        <family val="1"/>
      </rPr>
      <t>n</t>
    </r>
    <r>
      <rPr>
        <b/>
        <vertAlign val="subscript"/>
        <sz val="9"/>
        <rFont val="Times New Roman"/>
        <family val="1"/>
      </rPr>
      <t>i</t>
    </r>
    <r>
      <rPr>
        <b/>
        <sz val="9"/>
        <rFont val="Times New Roman"/>
        <family val="1"/>
      </rPr>
      <t xml:space="preserve"> = 1-16</t>
    </r>
  </si>
  <si>
    <t>включая CO</t>
  </si>
  <si>
    <r>
      <t>Газоанализатор Хоббит-Т-CH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    с термокаталитическим сенсором                           </t>
    </r>
  </si>
  <si>
    <r>
      <t>Газоанализатор Хоббит-Т-CH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  с оптическим сенсором                           </t>
    </r>
  </si>
  <si>
    <t>дополнительный канал измерения с термокаталитическим сенсором</t>
  </si>
  <si>
    <r>
      <t xml:space="preserve">5 - 50 % </t>
    </r>
    <r>
      <rPr>
        <sz val="8"/>
        <rFont val="Times New Roman"/>
        <family val="1"/>
      </rPr>
      <t>НКПР</t>
    </r>
  </si>
  <si>
    <t>дополнительный канал измерения с оптитическим сенсором</t>
  </si>
  <si>
    <r>
      <t>S</t>
    </r>
    <r>
      <rPr>
        <b/>
        <sz val="10"/>
        <rFont val="Times New Roman"/>
        <family val="1"/>
      </rPr>
      <t>n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= 1-16</t>
    </r>
  </si>
  <si>
    <r>
      <t>включая CH</t>
    </r>
    <r>
      <rPr>
        <b/>
        <vertAlign val="subscript"/>
        <sz val="9"/>
        <rFont val="Times New Roman"/>
        <family val="1"/>
      </rPr>
      <t>4</t>
    </r>
  </si>
  <si>
    <t xml:space="preserve">Газоанализатор Хоббит-Т-гор.газ с термокаталитическим сенсором                              </t>
  </si>
  <si>
    <t xml:space="preserve">Газоанализатор Хоббит-Т-гор.газ с оптическим сенсором                              </t>
  </si>
  <si>
    <t>дополнительный канал измерения с оптическим сенсором</t>
  </si>
  <si>
    <r>
      <t>включая один из: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CO как горючий</t>
    </r>
  </si>
  <si>
    <t>дополн. каналы CO</t>
  </si>
  <si>
    <r>
      <t>n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+n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=   =(3-8)</t>
    </r>
  </si>
  <si>
    <r>
      <t>n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+n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=   =(9-16)</t>
    </r>
  </si>
  <si>
    <r>
      <t>дополн. каналы CH</t>
    </r>
    <r>
      <rPr>
        <b/>
        <vertAlign val="subscript"/>
        <sz val="10"/>
        <rFont val="Times New Roman"/>
        <family val="1"/>
      </rPr>
      <t>4</t>
    </r>
  </si>
  <si>
    <t>нажать для расчета цены многоканального двухкомпонентного г/а</t>
  </si>
  <si>
    <r>
      <t>n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+n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=   =(2-16)</t>
    </r>
  </si>
  <si>
    <r>
      <t>n</t>
    </r>
    <r>
      <rPr>
        <b/>
        <vertAlign val="subscript"/>
        <sz val="9"/>
        <rFont val="Times New Roman"/>
        <family val="1"/>
      </rPr>
      <t>1</t>
    </r>
    <r>
      <rPr>
        <b/>
        <sz val="9"/>
        <rFont val="Times New Roman"/>
        <family val="1"/>
      </rPr>
      <t>CO,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CH</t>
    </r>
    <r>
      <rPr>
        <b/>
        <vertAlign val="subscript"/>
        <sz val="9"/>
        <rFont val="Times New Roman"/>
        <family val="1"/>
      </rPr>
      <t>4</t>
    </r>
  </si>
  <si>
    <r>
      <t>S</t>
    </r>
    <r>
      <rPr>
        <b/>
        <sz val="10"/>
        <rFont val="Times New Roman"/>
        <family val="1"/>
      </rPr>
      <t>n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= 2-16</t>
    </r>
  </si>
  <si>
    <r>
      <t>включая  n</t>
    </r>
    <r>
      <rPr>
        <b/>
        <vertAlign val="subscript"/>
        <sz val="9"/>
        <rFont val="Times New Roman"/>
        <family val="1"/>
      </rPr>
      <t>1</t>
    </r>
    <r>
      <rPr>
        <b/>
        <sz val="9"/>
        <rFont val="Times New Roman"/>
        <family val="1"/>
      </rPr>
      <t>CO,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CH</t>
    </r>
    <r>
      <rPr>
        <b/>
        <vertAlign val="subscript"/>
        <sz val="9"/>
        <rFont val="Times New Roman"/>
        <family val="1"/>
      </rPr>
      <t>4</t>
    </r>
  </si>
  <si>
    <t xml:space="preserve">Газоанал-р Хоббит-Т-CO-гор.газ   </t>
  </si>
  <si>
    <t>CO+гор.газ</t>
  </si>
  <si>
    <t>дополн. каналы гор. газов</t>
  </si>
  <si>
    <r>
      <t>n</t>
    </r>
    <r>
      <rPr>
        <vertAlign val="subscript"/>
        <sz val="8"/>
        <rFont val="Times New Roman"/>
        <family val="1"/>
      </rPr>
      <t>1</t>
    </r>
    <r>
      <rPr>
        <sz val="8"/>
        <rFont val="Times New Roman"/>
        <family val="1"/>
      </rPr>
      <t>CO, n</t>
    </r>
    <r>
      <rPr>
        <vertAlign val="sub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>гор.газ (C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CO как горючий)</t>
    </r>
  </si>
  <si>
    <r>
      <t>CO: 20-120 мг/м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 xml:space="preserve">г.г.: 5-50 % </t>
    </r>
    <r>
      <rPr>
        <sz val="8"/>
        <rFont val="Times New Roman"/>
        <family val="1"/>
      </rPr>
      <t>НКПР</t>
    </r>
  </si>
  <si>
    <t xml:space="preserve">Расчёт кол-ва блоков коммутации: </t>
  </si>
  <si>
    <t>1. Считают кол-во необходимых для прибора реле по формуле  n = (кол-во каналов * кол-во порогов) + 2.</t>
  </si>
  <si>
    <t>2. Учитывая, что в блоке [БР-10] 10 реле, их подбирают в таком кол-ве, чтобы суммарное кол-во реле в них было ≥ n.</t>
  </si>
  <si>
    <r>
      <t>Стационарные приборы для контроля</t>
    </r>
    <r>
      <rPr>
        <b/>
        <sz val="12"/>
        <rFont val="Times New Roman"/>
        <family val="1"/>
      </rPr>
      <t xml:space="preserve"> воздуха рабочей зоны опасных производств </t>
    </r>
  </si>
  <si>
    <r>
      <t>CO,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S,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O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              F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HF, HCl, NO</t>
    </r>
    <r>
      <rPr>
        <b/>
        <vertAlign val="subscript"/>
        <sz val="12"/>
        <rFont val="Times New Roman"/>
        <family val="1"/>
      </rPr>
      <t>2</t>
    </r>
  </si>
  <si>
    <r>
      <t>Газоанализатор хлора          Хоббит-Т-Cl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                             </t>
    </r>
  </si>
  <si>
    <r>
      <t>Cl</t>
    </r>
    <r>
      <rPr>
        <b/>
        <vertAlign val="subscript"/>
        <sz val="9"/>
        <rFont val="Times New Roman"/>
        <family val="1"/>
      </rPr>
      <t>2</t>
    </r>
  </si>
  <si>
    <r>
      <t>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1-25 мг/м</t>
    </r>
    <r>
      <rPr>
        <vertAlign val="superscript"/>
        <sz val="9"/>
        <rFont val="Times New Roman"/>
        <family val="1"/>
      </rPr>
      <t>3</t>
    </r>
  </si>
  <si>
    <r>
      <t>Газоанализатор сероводорода Хоббит-Т-H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S   </t>
    </r>
  </si>
  <si>
    <r>
      <t>H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S</t>
    </r>
  </si>
  <si>
    <r>
      <t>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S: 5-30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</t>
    </r>
  </si>
  <si>
    <r>
      <t>Газоанализатор сернистого газа Хоббит-Т-SO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                             </t>
    </r>
  </si>
  <si>
    <r>
      <t>SO</t>
    </r>
    <r>
      <rPr>
        <b/>
        <vertAlign val="subscript"/>
        <sz val="9"/>
        <rFont val="Times New Roman"/>
        <family val="1"/>
      </rPr>
      <t>2</t>
    </r>
  </si>
  <si>
    <r>
      <t>SO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10-100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</si>
  <si>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Газоанализатор аммиака     Хоббит-Т-NH</t>
    </r>
    <r>
      <rPr>
        <b/>
        <vertAlign val="subscript"/>
        <sz val="9"/>
        <rFont val="Times New Roman"/>
        <family val="1"/>
      </rPr>
      <t>3</t>
    </r>
    <r>
      <rPr>
        <b/>
        <sz val="9"/>
        <rFont val="Times New Roman"/>
        <family val="1"/>
      </rPr>
      <t xml:space="preserve">                              </t>
    </r>
  </si>
  <si>
    <r>
      <t>NH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: 20-600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</si>
  <si>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Газоанализатор озона           Хоббит-Т-O</t>
    </r>
    <r>
      <rPr>
        <b/>
        <vertAlign val="subscript"/>
        <sz val="9"/>
        <rFont val="Times New Roman"/>
        <family val="1"/>
      </rPr>
      <t>3</t>
    </r>
    <r>
      <rPr>
        <b/>
        <sz val="9"/>
        <rFont val="Times New Roman"/>
        <family val="1"/>
      </rPr>
      <t xml:space="preserve">                              </t>
    </r>
  </si>
  <si>
    <r>
      <t>O</t>
    </r>
    <r>
      <rPr>
        <b/>
        <vertAlign val="subscript"/>
        <sz val="9"/>
        <rFont val="Times New Roman"/>
        <family val="1"/>
      </rPr>
      <t>3</t>
    </r>
  </si>
  <si>
    <r>
      <t>O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:100-500 мкг/м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</si>
  <si>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1 - 25 мг/м</t>
    </r>
    <r>
      <rPr>
        <vertAlign val="superscript"/>
        <sz val="9"/>
        <rFont val="Times New Roman"/>
        <family val="1"/>
      </rPr>
      <t>3</t>
    </r>
  </si>
  <si>
    <r>
      <t>включая Cl</t>
    </r>
    <r>
      <rPr>
        <b/>
        <vertAlign val="subscript"/>
        <sz val="9"/>
        <rFont val="Times New Roman"/>
        <family val="1"/>
      </rPr>
      <t>2</t>
    </r>
  </si>
  <si>
    <r>
      <t>5 - 30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</t>
    </r>
  </si>
  <si>
    <r>
      <t>S</t>
    </r>
    <r>
      <rPr>
        <b/>
        <sz val="10"/>
        <rFont val="Times New Roman"/>
        <family val="1"/>
      </rPr>
      <t>n = 1-16</t>
    </r>
  </si>
  <si>
    <r>
      <t>включая H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S</t>
    </r>
  </si>
  <si>
    <r>
      <t>10 - 100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</si>
  <si>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включая SO</t>
    </r>
    <r>
      <rPr>
        <b/>
        <vertAlign val="subscript"/>
        <sz val="9"/>
        <rFont val="Times New Roman"/>
        <family val="1"/>
      </rPr>
      <t>2</t>
    </r>
  </si>
  <si>
    <r>
      <t>100 - 500 мкг/м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</si>
  <si>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включая O</t>
    </r>
    <r>
      <rPr>
        <b/>
        <vertAlign val="subscript"/>
        <sz val="9"/>
        <rFont val="Times New Roman"/>
        <family val="1"/>
      </rPr>
      <t>3</t>
    </r>
  </si>
  <si>
    <r>
      <t>Газоанализатор кислорода   Хоббит-Т-O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                             </t>
    </r>
  </si>
  <si>
    <r>
      <t>O</t>
    </r>
    <r>
      <rPr>
        <b/>
        <vertAlign val="subscript"/>
        <sz val="9"/>
        <rFont val="Times New Roman"/>
        <family val="1"/>
      </rPr>
      <t>2</t>
    </r>
  </si>
  <si>
    <t xml:space="preserve">1 - 30 об.%   </t>
  </si>
  <si>
    <r>
      <t>Газоанализатор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хлористого водорода ОКА-Т-HCl</t>
    </r>
  </si>
  <si>
    <r>
      <t>0 - 20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</si>
  <si>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Газоанализатор углекислого газа Хоббит-Т-CO</t>
    </r>
    <r>
      <rPr>
        <b/>
        <vertAlign val="subscript"/>
        <sz val="9"/>
        <rFont val="Times New Roman"/>
        <family val="1"/>
      </rPr>
      <t>2</t>
    </r>
  </si>
  <si>
    <t xml:space="preserve">0,1 - 5 об.%   </t>
  </si>
  <si>
    <t>до 5 об.%</t>
  </si>
  <si>
    <r>
      <t>Газоанализатор углекислого газа ОКА-Т-CO</t>
    </r>
    <r>
      <rPr>
        <b/>
        <vertAlign val="subscript"/>
        <sz val="9"/>
        <rFont val="Times New Roman"/>
        <family val="1"/>
      </rPr>
      <t>2</t>
    </r>
  </si>
  <si>
    <t xml:space="preserve">0 - 5 об.%   </t>
  </si>
  <si>
    <r>
      <t>Газоанализатор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двуокиси азота ОКА-Т-NO</t>
    </r>
    <r>
      <rPr>
        <b/>
        <vertAlign val="subscript"/>
        <sz val="9"/>
        <rFont val="Times New Roman"/>
        <family val="1"/>
      </rPr>
      <t>2</t>
    </r>
  </si>
  <si>
    <t>расчет цены многоканальн. многокомпонентного г/а</t>
  </si>
  <si>
    <t>Газоанализатор ОКА-Т-HF</t>
  </si>
  <si>
    <r>
      <t>0,0 - 3,0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</si>
  <si>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t>дополн. каналы HF</t>
  </si>
  <si>
    <t>Газоанализатор Хоббит-Т-HF</t>
  </si>
  <si>
    <r>
      <t>0,5 - 3,0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</si>
  <si>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t>Взрывозащищенные стационарные газоанализаторы (1ExibIIBT6)</t>
  </si>
  <si>
    <r>
      <t>CO,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S,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                           HF, 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8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14</t>
    </r>
  </si>
  <si>
    <t>Блок питания,                             один на каждые 8 каналов</t>
  </si>
  <si>
    <t>Барьер, на каждый канал</t>
  </si>
  <si>
    <t>нажать для расчета цены взр/защ. г/а "Хоббит-Т" с индикацией и выносным датчиком, записать цифру 1 в голубую ячейку и указать требуемые газы числом каналов</t>
  </si>
  <si>
    <t>Системы контроля отходящих газов</t>
  </si>
  <si>
    <t>3 - 10</t>
  </si>
  <si>
    <t>&gt;10</t>
  </si>
  <si>
    <r>
      <t>Ангор-С (O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</si>
  <si>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r>
      <t>Ангор-С (O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CO)</t>
    </r>
  </si>
  <si>
    <r>
      <t>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CO</t>
    </r>
  </si>
  <si>
    <r>
      <t>Ангор-С (O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CO, NO)</t>
    </r>
  </si>
  <si>
    <r>
      <t>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CO, NO</t>
    </r>
  </si>
  <si>
    <r>
      <t>Ангор-С (O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NO)</t>
    </r>
  </si>
  <si>
    <r>
      <t>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NO</t>
    </r>
  </si>
  <si>
    <t>Приборы для лабораторий</t>
  </si>
  <si>
    <t>Анализатор остаточного активного хлора в воде ВАКХ-2000</t>
  </si>
  <si>
    <t>Анализатор остаточного активного хлора в воде ВАКХ-2000С, стационарный, проточный, автоматический</t>
  </si>
  <si>
    <t>Средства поверки</t>
  </si>
  <si>
    <t>Генератор ПГСМ "ИНФАН ГР-_" k=450</t>
  </si>
  <si>
    <r>
      <t>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</si>
  <si>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ГР-_" k=50</t>
  </si>
  <si>
    <r>
      <t>4 - 20 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</si>
  <si>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ЭХГР-Cl2"</t>
  </si>
  <si>
    <t>хлор</t>
  </si>
  <si>
    <r>
      <t>0.5 - 30 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</si>
  <si>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ЭХГР-HCN"</t>
  </si>
  <si>
    <t>HCN</t>
  </si>
  <si>
    <r>
      <t>0.2 - 3.0 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</si>
  <si>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ЭХГР-HF"</t>
  </si>
  <si>
    <r>
      <t>0.4 - 5.0 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</si>
  <si>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ЭХГР-SO2"</t>
  </si>
  <si>
    <t>SO2</t>
  </si>
  <si>
    <r>
      <t>8 - 100 мг/м</t>
    </r>
    <r>
      <rPr>
        <b/>
        <vertAlign val="superscript"/>
        <sz val="10"/>
        <rFont val="Times New Roman"/>
        <family val="1"/>
      </rPr>
      <t>3</t>
    </r>
  </si>
  <si>
    <t>ГР05М</t>
  </si>
  <si>
    <t>Сенсоры</t>
  </si>
  <si>
    <t>Цены, руб. за 1 шт. (без НДС и доставки)</t>
  </si>
  <si>
    <t>Аммиак</t>
  </si>
  <si>
    <t>Диоксид азота</t>
  </si>
  <si>
    <t>Диоксид серы</t>
  </si>
  <si>
    <t>Кислород</t>
  </si>
  <si>
    <t>Метан и др. горючие газы</t>
  </si>
  <si>
    <t>Сероводород</t>
  </si>
  <si>
    <t>Угарный газ</t>
  </si>
  <si>
    <t>Фтор</t>
  </si>
  <si>
    <t>Фтористый водород</t>
  </si>
  <si>
    <t>Хлор</t>
  </si>
  <si>
    <t>Хлористый водород</t>
  </si>
  <si>
    <t>Ячейка генератора ГХ-120</t>
  </si>
  <si>
    <t>Примечание: в первом столбце приведены цены сенсоров, используемых как ЗИП</t>
  </si>
  <si>
    <t>ЗИП: блоки датчиков</t>
  </si>
  <si>
    <t>CH4</t>
  </si>
  <si>
    <t>C3H8</t>
  </si>
  <si>
    <t>C6H14</t>
  </si>
  <si>
    <t>Комплектующие и ЗИП</t>
  </si>
  <si>
    <t>Блок питания БП-35-24 (24В, 35Вт)</t>
  </si>
  <si>
    <t>Блок коммутации БР10М</t>
  </si>
  <si>
    <t>Тестовый кабель для стационарного г/а «ОКА» и «Хоббит-Т»</t>
  </si>
  <si>
    <t>Кабель удлинительный для стационарного г/а «ОКА» и «Хоббит-Т»</t>
  </si>
  <si>
    <t>Кабель удлинительный для стационарного г/а «Хоббит-Т» блоками сенсоров ТВ</t>
  </si>
  <si>
    <t>Наши реквизиты</t>
  </si>
  <si>
    <t xml:space="preserve">Фактический адрес: г.Санкт-Петербург, ул. Курчатова, д.10. </t>
  </si>
  <si>
    <t>Почтовый адрес: 194223, г.Санкт-Петербург, а/я 4.</t>
  </si>
  <si>
    <t>E-mail: mail@infogas.ru</t>
  </si>
  <si>
    <t>http://www.infogas.ru</t>
  </si>
  <si>
    <t>тип г/а</t>
  </si>
  <si>
    <t>газ</t>
  </si>
  <si>
    <t>кол-во каналов</t>
  </si>
  <si>
    <t>кол-во порогов</t>
  </si>
  <si>
    <t>ОКА-Т-</t>
  </si>
  <si>
    <t>ОКА-М-</t>
  </si>
  <si>
    <t>ОКА-92-</t>
  </si>
  <si>
    <r>
      <t>O</t>
    </r>
    <r>
      <rPr>
        <vertAlign val="subscript"/>
        <sz val="11"/>
        <rFont val="Times New Roman"/>
        <family val="1"/>
      </rPr>
      <t>2</t>
    </r>
  </si>
  <si>
    <t>Блок коммутации БКУ</t>
  </si>
  <si>
    <t xml:space="preserve"> </t>
  </si>
  <si>
    <t>Стационарные</t>
  </si>
  <si>
    <t>Хоббит-Т</t>
  </si>
  <si>
    <t>описание</t>
  </si>
  <si>
    <t>цена канала</t>
  </si>
  <si>
    <t>выбранные корпуса</t>
  </si>
  <si>
    <t>матрица кросс-чувствительностей к заказу</t>
  </si>
  <si>
    <t>газы</t>
  </si>
  <si>
    <t>взрыво-защищ-х</t>
  </si>
  <si>
    <t xml:space="preserve">РЕЗУЛЬТАТЫ </t>
  </si>
  <si>
    <t>уст. кол-во порогов</t>
  </si>
  <si>
    <t>выбр. газы</t>
  </si>
  <si>
    <t>выбранные каналы</t>
  </si>
  <si>
    <t>кол-во взрывозащ. каналов</t>
  </si>
  <si>
    <t>селект. к</t>
  </si>
  <si>
    <r>
      <t>O</t>
    </r>
    <r>
      <rPr>
        <b/>
        <vertAlign val="subscript"/>
        <sz val="10"/>
        <color indexed="43"/>
        <rFont val="Arial Cyr"/>
        <family val="2"/>
      </rPr>
      <t>2</t>
    </r>
  </si>
  <si>
    <t>наименование:</t>
  </si>
  <si>
    <t>H2</t>
  </si>
  <si>
    <r>
      <t>H</t>
    </r>
    <r>
      <rPr>
        <b/>
        <vertAlign val="subscript"/>
        <sz val="10"/>
        <color indexed="43"/>
        <rFont val="Arial Cyr"/>
        <family val="2"/>
      </rPr>
      <t>2</t>
    </r>
  </si>
  <si>
    <t>CO как горючий</t>
  </si>
  <si>
    <t>взрывозащита:</t>
  </si>
  <si>
    <r>
      <t>CH</t>
    </r>
    <r>
      <rPr>
        <b/>
        <vertAlign val="subscript"/>
        <sz val="10"/>
        <color indexed="43"/>
        <rFont val="Arial Cyr"/>
        <family val="2"/>
      </rPr>
      <t>4</t>
    </r>
  </si>
  <si>
    <r>
      <t>C</t>
    </r>
    <r>
      <rPr>
        <b/>
        <vertAlign val="subscript"/>
        <sz val="10"/>
        <color indexed="43"/>
        <rFont val="Arial Cyr"/>
        <family val="2"/>
      </rPr>
      <t>3</t>
    </r>
    <r>
      <rPr>
        <b/>
        <sz val="10"/>
        <color indexed="43"/>
        <rFont val="Arial Cyr"/>
        <family val="2"/>
      </rPr>
      <t>H</t>
    </r>
    <r>
      <rPr>
        <b/>
        <vertAlign val="subscript"/>
        <sz val="10"/>
        <color indexed="43"/>
        <rFont val="Arial Cyr"/>
        <family val="2"/>
      </rPr>
      <t>8</t>
    </r>
  </si>
  <si>
    <r>
      <t>C</t>
    </r>
    <r>
      <rPr>
        <b/>
        <vertAlign val="subscript"/>
        <sz val="10"/>
        <color indexed="43"/>
        <rFont val="Arial Cyr"/>
        <family val="2"/>
      </rPr>
      <t>6</t>
    </r>
    <r>
      <rPr>
        <b/>
        <sz val="10"/>
        <color indexed="43"/>
        <rFont val="Arial Cyr"/>
        <family val="2"/>
      </rPr>
      <t>H</t>
    </r>
    <r>
      <rPr>
        <b/>
        <vertAlign val="subscript"/>
        <sz val="10"/>
        <color indexed="43"/>
        <rFont val="Arial Cyr"/>
        <family val="2"/>
      </rPr>
      <t>14</t>
    </r>
  </si>
  <si>
    <t>Цена с блоками коммутации без НДС:</t>
  </si>
  <si>
    <r>
      <t>H</t>
    </r>
    <r>
      <rPr>
        <b/>
        <vertAlign val="subscript"/>
        <sz val="10"/>
        <color indexed="43"/>
        <rFont val="Arial Cyr"/>
        <family val="2"/>
      </rPr>
      <t>2</t>
    </r>
    <r>
      <rPr>
        <b/>
        <sz val="10"/>
        <color indexed="43"/>
        <rFont val="Arial Cyr"/>
        <family val="2"/>
      </rPr>
      <t>S</t>
    </r>
  </si>
  <si>
    <r>
      <t>SO</t>
    </r>
    <r>
      <rPr>
        <b/>
        <vertAlign val="subscript"/>
        <sz val="10"/>
        <color indexed="43"/>
        <rFont val="Arial Cyr"/>
        <family val="2"/>
      </rPr>
      <t>2</t>
    </r>
  </si>
  <si>
    <t>Всего с НДС:</t>
  </si>
  <si>
    <r>
      <t>Cl</t>
    </r>
    <r>
      <rPr>
        <b/>
        <vertAlign val="subscript"/>
        <sz val="10"/>
        <color indexed="43"/>
        <rFont val="Arial Cyr"/>
        <family val="2"/>
      </rPr>
      <t>2</t>
    </r>
  </si>
  <si>
    <r>
      <t>NH</t>
    </r>
    <r>
      <rPr>
        <b/>
        <vertAlign val="subscript"/>
        <sz val="10"/>
        <color indexed="43"/>
        <rFont val="Arial Cyr"/>
        <family val="2"/>
      </rPr>
      <t>3</t>
    </r>
  </si>
  <si>
    <r>
      <t>NO</t>
    </r>
    <r>
      <rPr>
        <b/>
        <vertAlign val="subscript"/>
        <sz val="10"/>
        <color indexed="43"/>
        <rFont val="Arial Cyr"/>
        <family val="2"/>
      </rPr>
      <t>2</t>
    </r>
  </si>
  <si>
    <r>
      <t>CO</t>
    </r>
    <r>
      <rPr>
        <b/>
        <vertAlign val="subscript"/>
        <sz val="10"/>
        <color indexed="43"/>
        <rFont val="Arial Cyr"/>
        <family val="2"/>
      </rPr>
      <t>2</t>
    </r>
  </si>
  <si>
    <t>количество измеряемых газов</t>
  </si>
  <si>
    <t>каналов горючих газов (термокат.)</t>
  </si>
  <si>
    <t>наценка на взрывозащиту (барьер на канал и БППН на 4 канала):</t>
  </si>
  <si>
    <t>каналов токсичных газов</t>
  </si>
  <si>
    <t>всего каналов</t>
  </si>
  <si>
    <t xml:space="preserve"> ОКА</t>
  </si>
  <si>
    <t>конфигурации</t>
  </si>
  <si>
    <t>ВВОДА колич. каналов для ОКА</t>
  </si>
  <si>
    <t>ОКА</t>
  </si>
  <si>
    <r>
      <t xml:space="preserve">Заполните </t>
    </r>
    <r>
      <rPr>
        <b/>
        <sz val="10"/>
        <color indexed="12"/>
        <rFont val="Arial Cyr"/>
        <family val="2"/>
      </rPr>
      <t>голубые поля</t>
    </r>
    <r>
      <rPr>
        <b/>
        <sz val="10"/>
        <rFont val="Arial Cyr"/>
        <family val="2"/>
      </rPr>
      <t xml:space="preserve">, проставив цифру </t>
    </r>
    <r>
      <rPr>
        <b/>
        <sz val="12"/>
        <color indexed="12"/>
        <rFont val="Arial Cyr"/>
        <family val="2"/>
      </rPr>
      <t>1</t>
    </r>
    <r>
      <rPr>
        <b/>
        <sz val="10"/>
        <rFont val="Arial Cyr"/>
        <family val="2"/>
      </rPr>
      <t xml:space="preserve"> против формул газов, подлежащих контролю</t>
    </r>
  </si>
  <si>
    <r>
      <t xml:space="preserve">Обратите внимание, что всего должно быть </t>
    </r>
    <r>
      <rPr>
        <b/>
        <u val="single"/>
        <sz val="9"/>
        <rFont val="Arial Cyr"/>
        <family val="2"/>
      </rPr>
      <t>не более 5 каналов</t>
    </r>
    <r>
      <rPr>
        <u val="single"/>
        <sz val="9"/>
        <rFont val="Arial Cyr"/>
        <family val="2"/>
      </rPr>
      <t xml:space="preserve">, и что каналы CH - неселективны </t>
    </r>
  </si>
  <si>
    <t>Выбранные каналы будут иметь по 1 порогу срабатывания</t>
  </si>
  <si>
    <t>Переносные</t>
  </si>
  <si>
    <t>группы</t>
  </si>
  <si>
    <t>укажите каналы</t>
  </si>
  <si>
    <t>формулы газов (появятся сами)</t>
  </si>
  <si>
    <t>Цена без НДС:</t>
  </si>
  <si>
    <t>взрывозащищённые</t>
  </si>
  <si>
    <t>цены за 1 шт. без НДС</t>
  </si>
  <si>
    <t>питание -</t>
  </si>
  <si>
    <t xml:space="preserve"> время работы</t>
  </si>
  <si>
    <t>с батареей - 5500 ч работы</t>
  </si>
  <si>
    <t>с батареей - 2000 ч работы, с аккумулятором - 500 ч работы</t>
  </si>
  <si>
    <t>Ставка НДС:</t>
  </si>
  <si>
    <t>C3H8opt</t>
  </si>
  <si>
    <t>наценка</t>
  </si>
  <si>
    <t>колво порогов</t>
  </si>
  <si>
    <t xml:space="preserve">цена корпуса </t>
  </si>
  <si>
    <t>на канал</t>
  </si>
  <si>
    <t>ХоббитТ</t>
  </si>
  <si>
    <t>по умолчанию</t>
  </si>
  <si>
    <t>с инфл.1/мес</t>
  </si>
  <si>
    <t>CH4 токс.</t>
  </si>
  <si>
    <t>CH4opt</t>
  </si>
  <si>
    <t>Cl2</t>
  </si>
  <si>
    <t>CO гор.</t>
  </si>
  <si>
    <t>CO2</t>
  </si>
  <si>
    <t>F2</t>
  </si>
  <si>
    <t>Цена</t>
  </si>
  <si>
    <t>(перечень газов)</t>
  </si>
  <si>
    <t>c 1/мес.</t>
  </si>
  <si>
    <t>H2S</t>
  </si>
  <si>
    <t>NH3</t>
  </si>
  <si>
    <t>NO2</t>
  </si>
  <si>
    <t>O2</t>
  </si>
  <si>
    <t>Оптима</t>
  </si>
  <si>
    <r>
      <t>O</t>
    </r>
    <r>
      <rPr>
        <vertAlign val="subscript"/>
        <sz val="10"/>
        <color indexed="45"/>
        <rFont val="Times New Roman"/>
        <family val="1"/>
      </rPr>
      <t>2</t>
    </r>
  </si>
  <si>
    <r>
      <t>O</t>
    </r>
    <r>
      <rPr>
        <vertAlign val="subscript"/>
        <sz val="10"/>
        <color indexed="45"/>
        <rFont val="Times New Roman"/>
        <family val="1"/>
      </rPr>
      <t>2</t>
    </r>
    <r>
      <rPr>
        <sz val="10"/>
        <color indexed="45"/>
        <rFont val="Times New Roman"/>
        <family val="1"/>
      </rPr>
      <t>,</t>
    </r>
    <r>
      <rPr>
        <vertAlign val="subscript"/>
        <sz val="10"/>
        <color indexed="45"/>
        <rFont val="Times New Roman"/>
        <family val="1"/>
      </rPr>
      <t xml:space="preserve"> </t>
    </r>
    <r>
      <rPr>
        <sz val="10"/>
        <color indexed="45"/>
        <rFont val="Times New Roman"/>
        <family val="1"/>
      </rPr>
      <t>CH</t>
    </r>
    <r>
      <rPr>
        <vertAlign val="subscript"/>
        <sz val="10"/>
        <color indexed="45"/>
        <rFont val="Times New Roman"/>
        <family val="1"/>
      </rPr>
      <t>4</t>
    </r>
  </si>
  <si>
    <r>
      <t>O</t>
    </r>
    <r>
      <rPr>
        <vertAlign val="subscript"/>
        <sz val="10"/>
        <color indexed="45"/>
        <rFont val="Times New Roman"/>
        <family val="1"/>
      </rPr>
      <t xml:space="preserve">2, </t>
    </r>
    <r>
      <rPr>
        <sz val="10"/>
        <color indexed="45"/>
        <rFont val="Times New Roman"/>
        <family val="1"/>
      </rPr>
      <t>CO</t>
    </r>
  </si>
  <si>
    <r>
      <t>O</t>
    </r>
    <r>
      <rPr>
        <vertAlign val="subscript"/>
        <sz val="10"/>
        <color indexed="45"/>
        <rFont val="Times New Roman"/>
        <family val="1"/>
      </rPr>
      <t xml:space="preserve">2, </t>
    </r>
    <r>
      <rPr>
        <sz val="10"/>
        <color indexed="45"/>
        <rFont val="Times New Roman"/>
        <family val="1"/>
      </rPr>
      <t>CO,</t>
    </r>
    <r>
      <rPr>
        <vertAlign val="subscript"/>
        <sz val="10"/>
        <color indexed="45"/>
        <rFont val="Times New Roman"/>
        <family val="1"/>
      </rPr>
      <t xml:space="preserve"> </t>
    </r>
    <r>
      <rPr>
        <sz val="10"/>
        <color indexed="45"/>
        <rFont val="Times New Roman"/>
        <family val="1"/>
      </rPr>
      <t>CH</t>
    </r>
    <r>
      <rPr>
        <vertAlign val="subscript"/>
        <sz val="10"/>
        <color indexed="45"/>
        <rFont val="Times New Roman"/>
        <family val="1"/>
      </rPr>
      <t>4</t>
    </r>
  </si>
  <si>
    <r>
      <t>O</t>
    </r>
    <r>
      <rPr>
        <vertAlign val="subscript"/>
        <sz val="10"/>
        <color indexed="45"/>
        <rFont val="Times New Roman"/>
        <family val="1"/>
      </rPr>
      <t xml:space="preserve">2, </t>
    </r>
    <r>
      <rPr>
        <sz val="10"/>
        <color indexed="45"/>
        <rFont val="Times New Roman"/>
        <family val="1"/>
      </rPr>
      <t>CO,</t>
    </r>
    <r>
      <rPr>
        <vertAlign val="subscript"/>
        <sz val="10"/>
        <color indexed="45"/>
        <rFont val="Times New Roman"/>
        <family val="1"/>
      </rPr>
      <t xml:space="preserve"> </t>
    </r>
    <r>
      <rPr>
        <sz val="10"/>
        <color indexed="45"/>
        <rFont val="Times New Roman"/>
        <family val="1"/>
      </rPr>
      <t>NO</t>
    </r>
  </si>
  <si>
    <r>
      <t>O</t>
    </r>
    <r>
      <rPr>
        <vertAlign val="subscript"/>
        <sz val="10"/>
        <color indexed="45"/>
        <rFont val="Times New Roman"/>
        <family val="1"/>
      </rPr>
      <t xml:space="preserve">2, </t>
    </r>
    <r>
      <rPr>
        <sz val="10"/>
        <color indexed="45"/>
        <rFont val="Times New Roman"/>
        <family val="1"/>
      </rPr>
      <t>CO,</t>
    </r>
    <r>
      <rPr>
        <vertAlign val="subscript"/>
        <sz val="10"/>
        <color indexed="45"/>
        <rFont val="Times New Roman"/>
        <family val="1"/>
      </rPr>
      <t xml:space="preserve"> </t>
    </r>
    <r>
      <rPr>
        <sz val="10"/>
        <color indexed="45"/>
        <rFont val="Times New Roman"/>
        <family val="1"/>
      </rPr>
      <t>NO, CH</t>
    </r>
    <r>
      <rPr>
        <vertAlign val="subscript"/>
        <sz val="10"/>
        <color indexed="45"/>
        <rFont val="Times New Roman"/>
        <family val="1"/>
      </rPr>
      <t>4</t>
    </r>
  </si>
  <si>
    <r>
      <t>O</t>
    </r>
    <r>
      <rPr>
        <vertAlign val="subscript"/>
        <sz val="10"/>
        <color indexed="45"/>
        <rFont val="Times New Roman"/>
        <family val="1"/>
      </rPr>
      <t xml:space="preserve">2, </t>
    </r>
    <r>
      <rPr>
        <sz val="10"/>
        <color indexed="45"/>
        <rFont val="Times New Roman"/>
        <family val="1"/>
      </rPr>
      <t>NO</t>
    </r>
  </si>
  <si>
    <t>Шкаф пневматики</t>
  </si>
  <si>
    <t>Трансформатор 36В</t>
  </si>
  <si>
    <t>Компрессор</t>
  </si>
  <si>
    <t>O3</t>
  </si>
  <si>
    <t>наценка на моноблок</t>
  </si>
  <si>
    <t>блок коммутации/управления</t>
  </si>
  <si>
    <t>цены без НДС, с учетом инфляции 1%/мес</t>
  </si>
  <si>
    <t>цена</t>
  </si>
  <si>
    <t>количество</t>
  </si>
  <si>
    <t>цена г/а</t>
  </si>
  <si>
    <t>ОКА-Т</t>
  </si>
  <si>
    <t>ОКА-М</t>
  </si>
  <si>
    <t xml:space="preserve"> канала</t>
  </si>
  <si>
    <t>корпуса</t>
  </si>
  <si>
    <t>порогов по умолчанию</t>
  </si>
  <si>
    <t>без индик.</t>
  </si>
  <si>
    <t>моноблок</t>
  </si>
  <si>
    <t>нет</t>
  </si>
  <si>
    <t>2+2</t>
  </si>
  <si>
    <t xml:space="preserve">при изменении базовой даты </t>
  </si>
  <si>
    <t>взять значения текущих цен сверху</t>
  </si>
  <si>
    <t>канала</t>
  </si>
  <si>
    <r>
      <t>C</t>
    </r>
    <r>
      <rPr>
        <b/>
        <vertAlign val="subscript"/>
        <sz val="10"/>
        <color indexed="12"/>
        <rFont val="Arial Cyr"/>
        <family val="2"/>
      </rPr>
      <t>3</t>
    </r>
    <r>
      <rPr>
        <b/>
        <sz val="10"/>
        <color indexed="12"/>
        <rFont val="Arial Cyr"/>
        <family val="2"/>
      </rPr>
      <t>H</t>
    </r>
    <r>
      <rPr>
        <b/>
        <vertAlign val="subscript"/>
        <sz val="10"/>
        <color indexed="12"/>
        <rFont val="Arial Cyr"/>
        <family val="2"/>
      </rPr>
      <t>8</t>
    </r>
  </si>
  <si>
    <r>
      <t>C</t>
    </r>
    <r>
      <rPr>
        <b/>
        <vertAlign val="subscript"/>
        <sz val="10"/>
        <color indexed="12"/>
        <rFont val="Arial Cyr"/>
        <family val="2"/>
      </rPr>
      <t>6</t>
    </r>
    <r>
      <rPr>
        <b/>
        <sz val="10"/>
        <color indexed="12"/>
        <rFont val="Arial Cyr"/>
        <family val="2"/>
      </rPr>
      <t>H</t>
    </r>
    <r>
      <rPr>
        <b/>
        <vertAlign val="subscript"/>
        <sz val="10"/>
        <color indexed="12"/>
        <rFont val="Arial Cyr"/>
        <family val="2"/>
      </rPr>
      <t>14</t>
    </r>
  </si>
  <si>
    <r>
      <t>CH</t>
    </r>
    <r>
      <rPr>
        <b/>
        <vertAlign val="subscript"/>
        <sz val="10"/>
        <color indexed="12"/>
        <rFont val="Arial Cyr"/>
        <family val="2"/>
      </rPr>
      <t>4</t>
    </r>
  </si>
  <si>
    <r>
      <t>Cl</t>
    </r>
    <r>
      <rPr>
        <b/>
        <vertAlign val="subscript"/>
        <sz val="10"/>
        <color indexed="12"/>
        <rFont val="Arial Cyr"/>
        <family val="2"/>
      </rPr>
      <t>2</t>
    </r>
  </si>
  <si>
    <r>
      <t>CO+CH</t>
    </r>
    <r>
      <rPr>
        <b/>
        <vertAlign val="subscript"/>
        <sz val="10"/>
        <color indexed="12"/>
        <rFont val="Arial Cyr"/>
        <family val="2"/>
      </rPr>
      <t>4</t>
    </r>
  </si>
  <si>
    <r>
      <t>CO</t>
    </r>
    <r>
      <rPr>
        <b/>
        <vertAlign val="subscript"/>
        <sz val="10"/>
        <color indexed="12"/>
        <rFont val="Arial Cyr"/>
        <family val="2"/>
      </rPr>
      <t>2</t>
    </r>
  </si>
  <si>
    <r>
      <t>F</t>
    </r>
    <r>
      <rPr>
        <b/>
        <vertAlign val="subscript"/>
        <sz val="10"/>
        <color indexed="12"/>
        <rFont val="Arial Cyr"/>
        <family val="2"/>
      </rPr>
      <t>2</t>
    </r>
  </si>
  <si>
    <r>
      <t>H</t>
    </r>
    <r>
      <rPr>
        <b/>
        <vertAlign val="subscript"/>
        <sz val="10"/>
        <color indexed="12"/>
        <rFont val="Arial Cyr"/>
        <family val="2"/>
      </rPr>
      <t>2</t>
    </r>
  </si>
  <si>
    <r>
      <t>H</t>
    </r>
    <r>
      <rPr>
        <b/>
        <vertAlign val="subscript"/>
        <sz val="10"/>
        <color indexed="12"/>
        <rFont val="Arial Cyr"/>
        <family val="2"/>
      </rPr>
      <t>2</t>
    </r>
    <r>
      <rPr>
        <b/>
        <sz val="10"/>
        <color indexed="12"/>
        <rFont val="Arial Cyr"/>
        <family val="2"/>
      </rPr>
      <t>S</t>
    </r>
  </si>
  <si>
    <r>
      <t>NH</t>
    </r>
    <r>
      <rPr>
        <b/>
        <vertAlign val="subscript"/>
        <sz val="10"/>
        <color indexed="12"/>
        <rFont val="Arial Cyr"/>
        <family val="2"/>
      </rPr>
      <t>3</t>
    </r>
  </si>
  <si>
    <r>
      <t>NO</t>
    </r>
    <r>
      <rPr>
        <b/>
        <vertAlign val="subscript"/>
        <sz val="10"/>
        <color indexed="12"/>
        <rFont val="Arial Cyr"/>
        <family val="2"/>
      </rPr>
      <t>2</t>
    </r>
  </si>
  <si>
    <r>
      <t>O</t>
    </r>
    <r>
      <rPr>
        <b/>
        <vertAlign val="subscript"/>
        <sz val="10"/>
        <color indexed="12"/>
        <rFont val="Arial Cyr"/>
        <family val="2"/>
      </rPr>
      <t>2</t>
    </r>
  </si>
  <si>
    <r>
      <t>O</t>
    </r>
    <r>
      <rPr>
        <b/>
        <vertAlign val="subscript"/>
        <sz val="10"/>
        <color indexed="12"/>
        <rFont val="Arial Cyr"/>
        <family val="2"/>
      </rPr>
      <t>3</t>
    </r>
  </si>
  <si>
    <r>
      <t>SO</t>
    </r>
    <r>
      <rPr>
        <b/>
        <vertAlign val="subscript"/>
        <sz val="10"/>
        <color indexed="12"/>
        <rFont val="Arial Cyr"/>
        <family val="2"/>
      </rPr>
      <t>2</t>
    </r>
  </si>
  <si>
    <t>10 реле</t>
  </si>
  <si>
    <t>блок искрозащиты</t>
  </si>
  <si>
    <t>1 на канал</t>
  </si>
  <si>
    <t>блок БППН</t>
  </si>
  <si>
    <t>1 на 4 кан.</t>
  </si>
  <si>
    <t>d за месяц</t>
  </si>
  <si>
    <t>месячный коэффициент:</t>
  </si>
  <si>
    <t>нач.месяц и год</t>
  </si>
  <si>
    <t>кон.месяц и год</t>
  </si>
  <si>
    <t>годовой коэффициент:</t>
  </si>
  <si>
    <t>- для сенсоров, 10% в год</t>
  </si>
  <si>
    <t>цена корпуса</t>
  </si>
  <si>
    <t>цена прочего</t>
  </si>
  <si>
    <t>прочее</t>
  </si>
  <si>
    <r>
      <t>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>, C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H</t>
    </r>
    <r>
      <rPr>
        <vertAlign val="subscript"/>
        <sz val="9"/>
        <rFont val="Times New Roman"/>
        <family val="1"/>
      </rPr>
      <t>8</t>
    </r>
    <r>
      <rPr>
        <sz val="9"/>
        <rFont val="Times New Roman"/>
        <family val="1"/>
      </rPr>
      <t>, C</t>
    </r>
    <r>
      <rPr>
        <vertAlign val="subscript"/>
        <sz val="9"/>
        <rFont val="Times New Roman"/>
        <family val="1"/>
      </rPr>
      <t>6</t>
    </r>
    <r>
      <rPr>
        <sz val="9"/>
        <rFont val="Times New Roman"/>
        <family val="1"/>
      </rPr>
      <t>H</t>
    </r>
    <r>
      <rPr>
        <vertAlign val="subscript"/>
        <sz val="9"/>
        <rFont val="Times New Roman"/>
        <family val="1"/>
      </rPr>
      <t>14</t>
    </r>
  </si>
  <si>
    <r>
      <t>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>, C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H</t>
    </r>
    <r>
      <rPr>
        <vertAlign val="subscript"/>
        <sz val="9"/>
        <rFont val="Times New Roman"/>
        <family val="1"/>
      </rPr>
      <t>8</t>
    </r>
    <r>
      <rPr>
        <sz val="9"/>
        <rFont val="Times New Roman"/>
        <family val="1"/>
      </rPr>
      <t>, C</t>
    </r>
    <r>
      <rPr>
        <vertAlign val="subscript"/>
        <sz val="9"/>
        <rFont val="Times New Roman"/>
        <family val="1"/>
      </rPr>
      <t>6</t>
    </r>
    <r>
      <rPr>
        <sz val="9"/>
        <rFont val="Times New Roman"/>
        <family val="1"/>
      </rPr>
      <t>H</t>
    </r>
    <r>
      <rPr>
        <vertAlign val="subscript"/>
        <sz val="9"/>
        <rFont val="Times New Roman"/>
        <family val="1"/>
      </rPr>
      <t>14</t>
    </r>
    <r>
      <rPr>
        <sz val="9"/>
        <rFont val="Times New Roman"/>
        <family val="1"/>
      </rPr>
      <t>, CO как горючий</t>
    </r>
  </si>
  <si>
    <r>
      <t>CH</t>
    </r>
    <r>
      <rPr>
        <vertAlign val="subscript"/>
        <sz val="6"/>
        <rFont val="Times New Roman"/>
        <family val="1"/>
      </rPr>
      <t>4</t>
    </r>
    <r>
      <rPr>
        <sz val="6"/>
        <rFont val="Times New Roman"/>
        <family val="1"/>
      </rPr>
      <t>, C</t>
    </r>
    <r>
      <rPr>
        <vertAlign val="subscript"/>
        <sz val="6"/>
        <rFont val="Times New Roman"/>
        <family val="1"/>
      </rPr>
      <t>3</t>
    </r>
    <r>
      <rPr>
        <sz val="6"/>
        <rFont val="Times New Roman"/>
        <family val="1"/>
      </rPr>
      <t>H</t>
    </r>
    <r>
      <rPr>
        <vertAlign val="subscript"/>
        <sz val="6"/>
        <rFont val="Times New Roman"/>
        <family val="1"/>
      </rPr>
      <t>8</t>
    </r>
    <r>
      <rPr>
        <sz val="6"/>
        <rFont val="Times New Roman"/>
        <family val="1"/>
      </rPr>
      <t>, C</t>
    </r>
    <r>
      <rPr>
        <vertAlign val="subscript"/>
        <sz val="6"/>
        <rFont val="Times New Roman"/>
        <family val="1"/>
      </rPr>
      <t>6</t>
    </r>
    <r>
      <rPr>
        <sz val="6"/>
        <rFont val="Times New Roman"/>
        <family val="1"/>
      </rPr>
      <t>H</t>
    </r>
    <r>
      <rPr>
        <vertAlign val="subscript"/>
        <sz val="6"/>
        <rFont val="Times New Roman"/>
        <family val="1"/>
      </rPr>
      <t>14</t>
    </r>
    <r>
      <rPr>
        <sz val="6"/>
        <rFont val="Times New Roman"/>
        <family val="1"/>
      </rPr>
      <t>, H</t>
    </r>
    <r>
      <rPr>
        <vertAlign val="subscript"/>
        <sz val="6"/>
        <rFont val="Times New Roman"/>
        <family val="1"/>
      </rPr>
      <t>2</t>
    </r>
    <r>
      <rPr>
        <sz val="6"/>
        <rFont val="Times New Roman"/>
        <family val="1"/>
      </rPr>
      <t>, CO как горючий</t>
    </r>
  </si>
  <si>
    <r>
      <t>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, 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</t>
    </r>
  </si>
  <si>
    <r>
      <t>Cl</t>
    </r>
    <r>
      <rPr>
        <strike/>
        <vertAlign val="subscript"/>
        <sz val="9"/>
        <rFont val="Times New Roman"/>
        <family val="1"/>
      </rPr>
      <t>2</t>
    </r>
    <r>
      <rPr>
        <strike/>
        <sz val="9"/>
        <rFont val="Times New Roman"/>
        <family val="1"/>
      </rPr>
      <t>, H</t>
    </r>
    <r>
      <rPr>
        <strike/>
        <vertAlign val="subscript"/>
        <sz val="11"/>
        <rFont val="Times New Roman"/>
        <family val="1"/>
      </rPr>
      <t>2</t>
    </r>
    <r>
      <rPr>
        <strike/>
        <sz val="9"/>
        <rFont val="Times New Roman"/>
        <family val="1"/>
      </rPr>
      <t>S</t>
    </r>
  </si>
  <si>
    <r>
      <t>CO, SO</t>
    </r>
    <r>
      <rPr>
        <vertAlign val="subscript"/>
        <sz val="11"/>
        <rFont val="Times New Roman"/>
        <family val="1"/>
      </rPr>
      <t>2</t>
    </r>
  </si>
  <si>
    <r>
      <t>CO,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S, SO</t>
    </r>
    <r>
      <rPr>
        <vertAlign val="subscript"/>
        <sz val="8"/>
        <rFont val="Times New Roman"/>
        <family val="1"/>
      </rPr>
      <t xml:space="preserve">2, </t>
    </r>
    <r>
      <rPr>
        <sz val="8"/>
        <rFont val="Times New Roman"/>
        <family val="1"/>
      </rPr>
      <t>Cl</t>
    </r>
    <r>
      <rPr>
        <vertAlign val="subscript"/>
        <sz val="8"/>
        <rFont val="Times New Roman"/>
        <family val="1"/>
      </rPr>
      <t>2</t>
    </r>
  </si>
  <si>
    <r>
      <t>H</t>
    </r>
    <r>
      <rPr>
        <vertAlign val="subscript"/>
        <sz val="9"/>
        <rFont val="Times New Roman"/>
        <family val="1"/>
      </rPr>
      <t>2</t>
    </r>
  </si>
  <si>
    <r>
      <t>F</t>
    </r>
    <r>
      <rPr>
        <vertAlign val="subscript"/>
        <sz val="9"/>
        <rFont val="Times New Roman"/>
        <family val="1"/>
      </rPr>
      <t>2</t>
    </r>
  </si>
  <si>
    <t>--</t>
  </si>
  <si>
    <r>
      <t>O</t>
    </r>
    <r>
      <rPr>
        <strike/>
        <vertAlign val="subscript"/>
        <sz val="9"/>
        <rFont val="Times New Roman"/>
        <family val="1"/>
      </rPr>
      <t>3</t>
    </r>
  </si>
  <si>
    <t>1 канал</t>
  </si>
  <si>
    <t>2 канала</t>
  </si>
  <si>
    <t>3 канала</t>
  </si>
  <si>
    <t>4 канала</t>
  </si>
  <si>
    <t>CHir</t>
  </si>
  <si>
    <t>Примечания.</t>
  </si>
  <si>
    <t>25.08.08 изменена стоимость канала HCl на 1000 руб.</t>
  </si>
  <si>
    <t>27.06.07 изменена стоимость канала HCl на 905 руб.</t>
  </si>
  <si>
    <t>14.02.13 изменена наценка на взрывозащиту: 2000+1000*n</t>
  </si>
  <si>
    <t>с 1 окт 13 по 30 апр 14 на 30% уменьш цена на опт метан</t>
  </si>
  <si>
    <t>взрывозащита,</t>
  </si>
  <si>
    <t>число каналов:</t>
  </si>
  <si>
    <t>зонд 0.5, 0.75, 1.0 м</t>
  </si>
  <si>
    <t>O2, CO</t>
  </si>
  <si>
    <t>O2, CO, NO</t>
  </si>
  <si>
    <t>O2, NO</t>
  </si>
  <si>
    <t>Ангор-С</t>
  </si>
  <si>
    <r>
      <t>F</t>
    </r>
    <r>
      <rPr>
        <b/>
        <vertAlign val="subscript"/>
        <sz val="10"/>
        <color indexed="9"/>
        <rFont val="Arial Cyr"/>
        <family val="2"/>
      </rPr>
      <t>2</t>
    </r>
  </si>
  <si>
    <r>
      <t>CH</t>
    </r>
    <r>
      <rPr>
        <b/>
        <vertAlign val="subscript"/>
        <sz val="10"/>
        <color indexed="43"/>
        <rFont val="Arial Cyr"/>
        <family val="2"/>
      </rPr>
      <t>4</t>
    </r>
    <r>
      <rPr>
        <b/>
        <sz val="10"/>
        <color indexed="43"/>
        <rFont val="Arial Cyr"/>
        <family val="0"/>
      </rPr>
      <t xml:space="preserve"> с зондом</t>
    </r>
  </si>
  <si>
    <t>CH4 с зондом</t>
  </si>
  <si>
    <t>ОКА моноблок</t>
  </si>
  <si>
    <t>29.01.2015 понизили стоимости каналов э/х на 1000 р, чтобы ниже взрывозащиты сделать</t>
  </si>
  <si>
    <t>08.05.2015 повысили на 2800 метановые каналы без зонда, на 4100 метановые каналы с зондом и на 3510 корпус к зонду, на 330 корпус к метану без зонда</t>
  </si>
  <si>
    <t>Генератор ПГСМ "ИНФАН ГР-_" k=2500</t>
  </si>
  <si>
    <t>Осушитель с силикагелем</t>
  </si>
  <si>
    <t>Реактор химический</t>
  </si>
  <si>
    <t>Реактор термокаталитический</t>
  </si>
  <si>
    <t>Катализатор для термореактора</t>
  </si>
  <si>
    <r>
      <t>CO</t>
    </r>
    <r>
      <rPr>
        <b/>
        <vertAlign val="subscript"/>
        <sz val="10"/>
        <color indexed="62"/>
        <rFont val="Arial Cyr"/>
        <family val="2"/>
      </rPr>
      <t>2</t>
    </r>
  </si>
  <si>
    <t>Анализатор остаточного активного хлора в воде ВАКХ-2000С, стационарный, лабораторный, полуавтоматический</t>
  </si>
  <si>
    <t>Микрошприц 100 мкл с прямым срезом иглы</t>
  </si>
  <si>
    <t>Цианистый водород</t>
  </si>
  <si>
    <t>цены без НДС, с возможностью учета инфляции 1/мес</t>
  </si>
  <si>
    <t>Уплотнитель силиконовый (септа)</t>
  </si>
  <si>
    <t>Генератор ПГСМ "ИНФАН ФХГ-HCl ЭХГР-Cl2"</t>
  </si>
  <si>
    <t>HCl, хлор</t>
  </si>
  <si>
    <r>
      <t>4 - 20 мг/м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         0.5 - 30 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</si>
  <si>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ФХГ-HCl "</t>
  </si>
  <si>
    <t>Аккумуляторная сборка 2*2.4В для г/а модификаций «ОКА»</t>
  </si>
  <si>
    <t>Анализатор элементного состава "ТОПАЗ-C" с управляющим компьютером и устройством подачи чистого воздуха</t>
  </si>
  <si>
    <t>Анализатор элементного состава "ТОПАЗ-N" с управляющим компьютером и устройством подачи чистого воздуха</t>
  </si>
  <si>
    <t>Анализатор элементного состава "ТОПАЗ-NC" с управляющим компьютером и устройством подачи чистого воздуха</t>
  </si>
  <si>
    <t>Комплектующие и ЗИП к анализаторам "Топаз"</t>
  </si>
  <si>
    <t>Устройство подачи чистого воздуха</t>
  </si>
  <si>
    <t>Игла для микрошприца с прямым срезом</t>
  </si>
  <si>
    <r>
      <t>CO, O</t>
    </r>
    <r>
      <rPr>
        <b/>
        <vertAlign val="subscript"/>
        <sz val="12"/>
        <rFont val="Times New Roman"/>
        <family val="1"/>
      </rPr>
      <t>2,</t>
    </r>
    <r>
      <rPr>
        <b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NO</t>
    </r>
  </si>
  <si>
    <t>CO и гор.газ</t>
  </si>
  <si>
    <t>CO и метан</t>
  </si>
  <si>
    <t>цена на 14.05.2018</t>
  </si>
  <si>
    <t>плюс 5% на канал</t>
  </si>
  <si>
    <t>14.05.2018 +5 %/канал, начиная со второго</t>
  </si>
  <si>
    <t>Защитный кожух блока датчиков г/а "ОКА" и "Хоббит"</t>
  </si>
  <si>
    <t>Тестовый кабель, USB-RS232 DB9</t>
  </si>
  <si>
    <t>Тестовый кабель, USB-RS485 EDGK</t>
  </si>
  <si>
    <t>Тестовый кабель, USB-RS232 EDGK</t>
  </si>
  <si>
    <t>Тестовый кабель, USB-RS485 DB9</t>
  </si>
  <si>
    <t>Блок питания БП-60-24 (24В, 60Вт)</t>
  </si>
  <si>
    <t>Блок коммутации РП</t>
  </si>
  <si>
    <t>БР-10М, динрельс</t>
  </si>
  <si>
    <t>Защитный кожух блока датчиков</t>
  </si>
  <si>
    <t>+5% на все общепром. 1- и 2-канальные - в формуле цены</t>
  </si>
  <si>
    <t>Монтажная коробка МКБ</t>
  </si>
  <si>
    <t>наценка на дисплей</t>
  </si>
  <si>
    <t>базовые</t>
  </si>
  <si>
    <t>тёплые</t>
  </si>
  <si>
    <t>c 15.08.2018</t>
  </si>
  <si>
    <t>05.09.2018</t>
  </si>
  <si>
    <t>05.09.2018 +5 %/оптические каналы</t>
  </si>
  <si>
    <t>11.09.2018 понизили все HCl каналы на 2000</t>
  </si>
  <si>
    <t>выравнены с одноканальными выносными</t>
  </si>
  <si>
    <t>блок индикации</t>
  </si>
  <si>
    <t>блоки датчиков</t>
  </si>
  <si>
    <t>блоки коммутации</t>
  </si>
  <si>
    <t>CO-горюч.</t>
  </si>
  <si>
    <t>наценка 9-16 каналов</t>
  </si>
  <si>
    <t>наценка на селективность</t>
  </si>
  <si>
    <t>наценка на наличие взрывозащиты горючих</t>
  </si>
  <si>
    <t>составляющие цены</t>
  </si>
  <si>
    <t>наценка на 3 канала</t>
  </si>
  <si>
    <t>наценка на взрывозащиту</t>
  </si>
  <si>
    <t>блок датчиков</t>
  </si>
  <si>
    <t>сумма</t>
  </si>
  <si>
    <t>наценка на взрыв. CH4 опт.</t>
  </si>
  <si>
    <t>наценка на 1-2 канала общепром.</t>
  </si>
  <si>
    <t>доп. наценка на нек-рые 1-кан.общепром</t>
  </si>
  <si>
    <t>корпус (как БИ)</t>
  </si>
  <si>
    <t>датчики</t>
  </si>
  <si>
    <t>наценка на 3 сенсора</t>
  </si>
  <si>
    <t>скидка на &gt; 3 каналов</t>
  </si>
  <si>
    <t>скидка на &gt; 3 сенсоров</t>
  </si>
  <si>
    <t>примечание</t>
  </si>
  <si>
    <t>взрывозащ. каналов</t>
  </si>
  <si>
    <t>взрывозащита предусмотрена</t>
  </si>
  <si>
    <t>взрывозащита выбранных каналов предусмотрена</t>
  </si>
  <si>
    <t xml:space="preserve">каналы углеводородов НЕ селективны к горючим газам; </t>
  </si>
  <si>
    <t>ошибка ввода!</t>
  </si>
  <si>
    <t>(число порогов в канале от 1 до 3)</t>
  </si>
  <si>
    <t>(всего каналов - не более 16)</t>
  </si>
  <si>
    <t xml:space="preserve">Укажите количества каналов измерения выбранных газов </t>
  </si>
  <si>
    <t>(если каналов более 2, без дисплея не выпускается)</t>
  </si>
  <si>
    <t>сигналы ошибок</t>
  </si>
  <si>
    <r>
      <t xml:space="preserve">каналы CO-горюч. </t>
    </r>
    <r>
      <rPr>
        <b/>
        <sz val="8"/>
        <color indexed="10"/>
        <rFont val="Arial Cyr"/>
        <family val="2"/>
      </rPr>
      <t>НЕ</t>
    </r>
    <r>
      <rPr>
        <sz val="8"/>
        <color indexed="10"/>
        <rFont val="Arial Cyr"/>
        <family val="2"/>
      </rPr>
      <t xml:space="preserve"> предупреждают об отравлении</t>
    </r>
    <r>
      <rPr>
        <sz val="8"/>
        <rFont val="Arial Cyr"/>
        <family val="2"/>
      </rPr>
      <t xml:space="preserve">, только о взрывоопасности; </t>
    </r>
  </si>
  <si>
    <t>взрывозащита водорода</t>
  </si>
  <si>
    <t>(взрывозащита гирлянд НЕ предусмотрена)</t>
  </si>
  <si>
    <t>(взрывозащита КНС НЕ предусмотрена)</t>
  </si>
  <si>
    <t>взрывозащита выбранных каналов НЕ предусмотрена</t>
  </si>
  <si>
    <t>(где-то введён неверный символ исполнения)</t>
  </si>
  <si>
    <t>ЦЕНЫ</t>
  </si>
  <si>
    <t>ошибка ввода каналов</t>
  </si>
  <si>
    <t>ЦЕНЫ без взрывозащиты</t>
  </si>
  <si>
    <t>ЦЕНЫ с взрывозащитой</t>
  </si>
  <si>
    <t>ошибка ввода взрывозащиты</t>
  </si>
  <si>
    <t>ЦЕНЫ (каналы водорода не взрывозащищены)</t>
  </si>
  <si>
    <t>(укажите взрывозащищённые каналы, если необходимо)</t>
  </si>
  <si>
    <t>наценки с 03.12.2014</t>
  </si>
  <si>
    <t>за гирлянду</t>
  </si>
  <si>
    <t>за КНС</t>
  </si>
  <si>
    <t>без дисплея</t>
  </si>
  <si>
    <t>(индикатор)</t>
  </si>
  <si>
    <t>(только в ОКА)</t>
  </si>
  <si>
    <t>полная цена без НДС</t>
  </si>
  <si>
    <t>Выберите тип газоанализатора:</t>
  </si>
  <si>
    <t>ОКА-</t>
  </si>
  <si>
    <r>
      <t>O</t>
    </r>
    <r>
      <rPr>
        <b/>
        <vertAlign val="subscript"/>
        <sz val="10"/>
        <color indexed="9"/>
        <rFont val="Arial Cyr"/>
        <family val="0"/>
      </rPr>
      <t>3</t>
    </r>
  </si>
  <si>
    <t>- для Хоббит-Т</t>
  </si>
  <si>
    <t>- для ОКА</t>
  </si>
  <si>
    <t>(Хоббит-Т  или  ОКА-)</t>
  </si>
  <si>
    <t>наценка на нек-рые 1-канальные общепром.</t>
  </si>
  <si>
    <t>каналов &gt;5</t>
  </si>
  <si>
    <t>(если каналов более 4, взрывозащита не обеспечивается)</t>
  </si>
  <si>
    <t>(всего каналов - не более 5)</t>
  </si>
  <si>
    <t>Выберите тип газоанализатора</t>
  </si>
  <si>
    <t xml:space="preserve">Укажите каналы измерения выбранных газов </t>
  </si>
  <si>
    <r>
      <t>O</t>
    </r>
    <r>
      <rPr>
        <b/>
        <vertAlign val="subscript"/>
        <sz val="10"/>
        <color indexed="9"/>
        <rFont val="Arial Cyr"/>
        <family val="2"/>
      </rPr>
      <t>3</t>
    </r>
  </si>
  <si>
    <r>
      <t>F</t>
    </r>
    <r>
      <rPr>
        <b/>
        <vertAlign val="subscript"/>
        <sz val="10"/>
        <color indexed="9"/>
        <rFont val="Arial Cyr"/>
        <family val="2"/>
      </rPr>
      <t>2</t>
    </r>
  </si>
  <si>
    <t>(введён неверный символ)</t>
  </si>
  <si>
    <r>
      <t xml:space="preserve">взрывозащита </t>
    </r>
    <r>
      <rPr>
        <b/>
        <sz val="8"/>
        <color indexed="10"/>
        <rFont val="Arial Cyr"/>
        <family val="2"/>
      </rPr>
      <t>НЕ</t>
    </r>
    <r>
      <rPr>
        <sz val="8"/>
        <rFont val="Arial Cyr"/>
        <family val="2"/>
      </rPr>
      <t xml:space="preserve"> предусмотрена</t>
    </r>
  </si>
  <si>
    <t>(укажите необходимость взрывозащиты, если необходимо)</t>
  </si>
  <si>
    <t>(взрывозащита не более 2 электрохимических сенсоров)</t>
  </si>
  <si>
    <t>(каналы CHopt, NO2 и HCL - только в г/а ОКА-)</t>
  </si>
  <si>
    <t>выбранные газы</t>
  </si>
  <si>
    <r>
      <t>CH</t>
    </r>
    <r>
      <rPr>
        <b/>
        <vertAlign val="subscript"/>
        <sz val="10"/>
        <color indexed="43"/>
        <rFont val="Arial Cyr"/>
        <family val="0"/>
      </rPr>
      <t>opt</t>
    </r>
  </si>
  <si>
    <t>(каналы CHopt, NO2 и HCl - только в г/а ОКА-)</t>
  </si>
  <si>
    <t>СООБЩЕНИЯ К СТРАНИЦАМ РАСЧЁТА ЦЕН ПЕРЕНОСНЫХ Г/А С ВЫНОСНЫМИ БЛОКАМИ ДАТЧИКОВ</t>
  </si>
  <si>
    <t>каналов горючих газов (с термокатал. сенсорами)</t>
  </si>
  <si>
    <r>
      <t xml:space="preserve">Обратите внимание, что всего должно быть </t>
    </r>
    <r>
      <rPr>
        <b/>
        <u val="single"/>
        <sz val="9"/>
        <rFont val="Arial Cyr"/>
        <family val="2"/>
      </rPr>
      <t>не более 16 каналов</t>
    </r>
    <r>
      <rPr>
        <u val="single"/>
        <sz val="9"/>
        <rFont val="Arial Cyr"/>
        <family val="2"/>
      </rPr>
      <t xml:space="preserve">, в каналах ОКА </t>
    </r>
    <r>
      <rPr>
        <b/>
        <u val="single"/>
        <sz val="9"/>
        <rFont val="Arial Cyr"/>
        <family val="2"/>
      </rPr>
      <t>по умолчанию 1 порог</t>
    </r>
    <r>
      <rPr>
        <u val="single"/>
        <sz val="9"/>
        <rFont val="Arial Cyr"/>
        <family val="2"/>
      </rPr>
      <t xml:space="preserve"> </t>
    </r>
  </si>
  <si>
    <r>
      <t xml:space="preserve">Заполните </t>
    </r>
    <r>
      <rPr>
        <b/>
        <sz val="9"/>
        <color indexed="12"/>
        <rFont val="Arial Cyr"/>
        <family val="2"/>
      </rPr>
      <t>голубые поля</t>
    </r>
    <r>
      <rPr>
        <b/>
        <sz val="9"/>
        <rFont val="Arial Cyr"/>
        <family val="2"/>
      </rPr>
      <t>, проставив числа каналов против формул газов, подлежащих контролю</t>
    </r>
  </si>
  <si>
    <t xml:space="preserve"> – без дисплея</t>
  </si>
  <si>
    <t xml:space="preserve"> – со знакосинтезирующим дисплеем</t>
  </si>
  <si>
    <t xml:space="preserve"> – с графическим дисплеем</t>
  </si>
  <si>
    <t xml:space="preserve"> – без токового выхода</t>
  </si>
  <si>
    <t xml:space="preserve"> – 0-5 мА</t>
  </si>
  <si>
    <t xml:space="preserve"> – 4-20 мА</t>
  </si>
  <si>
    <t>-Д0</t>
  </si>
  <si>
    <t>-Д2</t>
  </si>
  <si>
    <r>
      <t xml:space="preserve">если блок индикации нужен </t>
    </r>
    <r>
      <rPr>
        <b/>
        <sz val="8"/>
        <rFont val="Arial Cyr"/>
        <family val="0"/>
      </rPr>
      <t>в метал. корпусе</t>
    </r>
    <r>
      <rPr>
        <sz val="8"/>
        <color indexed="57"/>
        <rFont val="Arial Cyr"/>
        <family val="0"/>
      </rPr>
      <t xml:space="preserve">, поставьте в зелёную ячейку цифру </t>
    </r>
    <r>
      <rPr>
        <b/>
        <sz val="8"/>
        <color indexed="57"/>
        <rFont val="Arial Cyr"/>
        <family val="0"/>
      </rPr>
      <t>1</t>
    </r>
    <r>
      <rPr>
        <sz val="8"/>
        <color indexed="57"/>
        <rFont val="Arial Cyr"/>
        <family val="0"/>
      </rPr>
      <t xml:space="preserve"> </t>
    </r>
    <r>
      <rPr>
        <b/>
        <sz val="8"/>
        <color indexed="57"/>
        <rFont val="Arial Cyr"/>
        <family val="2"/>
      </rPr>
      <t xml:space="preserve"> </t>
    </r>
    <r>
      <rPr>
        <b/>
        <sz val="8"/>
        <color indexed="57"/>
        <rFont val="Symbol"/>
        <family val="1"/>
      </rPr>
      <t>®</t>
    </r>
    <r>
      <rPr>
        <b/>
        <sz val="8"/>
        <color indexed="25"/>
        <rFont val="Symbol"/>
        <family val="1"/>
      </rPr>
      <t xml:space="preserve"> </t>
    </r>
  </si>
  <si>
    <t>-С</t>
  </si>
  <si>
    <t xml:space="preserve"> – сигнализация по RS</t>
  </si>
  <si>
    <t xml:space="preserve"> – без визуальной сигнализации</t>
  </si>
  <si>
    <t xml:space="preserve"> – с визуальной сигнализацией</t>
  </si>
  <si>
    <t xml:space="preserve"> – со звуковой сигнализацией</t>
  </si>
  <si>
    <t xml:space="preserve"> – без звуковой сигнализации</t>
  </si>
  <si>
    <t>-И21</t>
  </si>
  <si>
    <t>-И22</t>
  </si>
  <si>
    <t>код наименования:</t>
  </si>
  <si>
    <t xml:space="preserve"> – стационарный в металлическом корпусе</t>
  </si>
  <si>
    <t xml:space="preserve"> – стационарный в пластиковом корпусе с креплением на дин-рейку</t>
  </si>
  <si>
    <t>/50</t>
  </si>
  <si>
    <t xml:space="preserve"> – код IP54 всех блоков датчиков (о потребности изменить защиту - сообщать при заказе)</t>
  </si>
  <si>
    <t xml:space="preserve"> – код IP50 блоков индикации</t>
  </si>
  <si>
    <t>(з)</t>
  </si>
  <si>
    <t xml:space="preserve"> – параллельное подключение блоков датчиков к блоку индикации ("звезда") </t>
  </si>
  <si>
    <t>(г)</t>
  </si>
  <si>
    <t xml:space="preserve"> – последовательное подключение всех или некоторых блоков датчиков к блоку индикации ("гирлянда" или "звезда/гирлянда") </t>
  </si>
  <si>
    <r>
      <t>¬</t>
    </r>
    <r>
      <rPr>
        <sz val="7"/>
        <rFont val="Arial Cyr"/>
        <family val="2"/>
      </rPr>
      <t xml:space="preserve"> введите необходимые данные</t>
    </r>
  </si>
  <si>
    <t>рекомендуемое кол.   БР-10</t>
  </si>
  <si>
    <t>~220</t>
  </si>
  <si>
    <t xml:space="preserve"> – напряжение питания (при необходимости заказать другое питание - сообщать при заказе)</t>
  </si>
  <si>
    <t>-И11</t>
  </si>
  <si>
    <t xml:space="preserve"> – переносной</t>
  </si>
  <si>
    <t xml:space="preserve"> – длина линии связи между блоком датчиков и блоком индикации (по умолчанию - 6 м) </t>
  </si>
  <si>
    <t xml:space="preserve"> – сигнализации по RS нет</t>
  </si>
  <si>
    <t xml:space="preserve"> – напряжение питания от встроенного аккумулятора</t>
  </si>
  <si>
    <t>Пояснения к коду стационарного газоанализатора</t>
  </si>
  <si>
    <t>Пояснения к коду переносного газоанализатора</t>
  </si>
  <si>
    <t xml:space="preserve"> – код IP54 блоков датчиков (о потребности изменить защиту оболочкой - сообщать при заказе)</t>
  </si>
  <si>
    <r>
      <t xml:space="preserve">если взрывозащита нужна, поставьте в голубую ячейку цифру </t>
    </r>
    <r>
      <rPr>
        <b/>
        <sz val="10"/>
        <rFont val="Arial Cyr"/>
        <family val="2"/>
      </rPr>
      <t xml:space="preserve">1 </t>
    </r>
    <r>
      <rPr>
        <b/>
        <sz val="8"/>
        <rFont val="Symbol"/>
        <family val="1"/>
      </rPr>
      <t>®</t>
    </r>
    <r>
      <rPr>
        <b/>
        <sz val="8"/>
        <color indexed="10"/>
        <rFont val="Symbol"/>
        <family val="1"/>
      </rPr>
      <t xml:space="preserve">  </t>
    </r>
  </si>
  <si>
    <t>-=A5</t>
  </si>
  <si>
    <t>(взрывозащита не более 1 термокаталитического сенсора)</t>
  </si>
  <si>
    <t>(при наличии термокаталитического сенсора взрывозащита не допускает более 1 электрохимического сенсора)</t>
  </si>
  <si>
    <t>(при наличии термокаталитического сенсора взрывозащита не допускает оптических сенсоров)</t>
  </si>
  <si>
    <t>каналы CHopt, NO2 или HCl в Хоббит-Т</t>
  </si>
  <si>
    <t>формирование кода наименования</t>
  </si>
  <si>
    <t>подсказки к коду наименования</t>
  </si>
  <si>
    <t>- каналы углеводор. не селективны к горючим</t>
  </si>
  <si>
    <t>- каналы, кросс-чувствительность</t>
  </si>
  <si>
    <t>- тип г/а</t>
  </si>
  <si>
    <t>адрес сообщения</t>
  </si>
  <si>
    <t>- не указан тип г/а</t>
  </si>
  <si>
    <t>адрес примечания</t>
  </si>
  <si>
    <t>СООБЩЕНИЯ К СТРАНИЦЕ РАСЧЁТА ЦЕН СТАЦИОНАРНЫХ Г/А С ВЫНОСНЫМИ БЛОКАМИ ДАТЧИКОВ</t>
  </si>
  <si>
    <t>- для любого типа</t>
  </si>
  <si>
    <t>результат ввода</t>
  </si>
  <si>
    <t>- каналы COгорюч. не защищают от отравления</t>
  </si>
  <si>
    <t>- каналов &gt;16</t>
  </si>
  <si>
    <t>- каналов без дисплея &gt;2</t>
  </si>
  <si>
    <t>- порогов &gt;3</t>
  </si>
  <si>
    <t>- каналы CH4opt, NO2 или HCl в Хоббит-Т</t>
  </si>
  <si>
    <t>- код исполнения</t>
  </si>
  <si>
    <t>- код подключения блоков датчиков</t>
  </si>
  <si>
    <t>- код IP блоков датчиков</t>
  </si>
  <si>
    <t>- код IP блоков индикации</t>
  </si>
  <si>
    <t>- код наличия дисплея</t>
  </si>
  <si>
    <t>- код токового выхода</t>
  </si>
  <si>
    <t>- код напряжения питания</t>
  </si>
  <si>
    <t>- код общей взрывозащиты</t>
  </si>
  <si>
    <t>- наличие каналов токсичных газов в ОКА-</t>
  </si>
  <si>
    <t>- наличие каналов горючих газов в ОКА-</t>
  </si>
  <si>
    <t>- наличие каналов O2 в ОКА-</t>
  </si>
  <si>
    <t>- наличие каналов H2 в ОКА-</t>
  </si>
  <si>
    <t>- наличие каналов COгор. в ОКА-</t>
  </si>
  <si>
    <t>- наличие каналов CH4 в ОКА-</t>
  </si>
  <si>
    <t>- наличие каналов C3H8 в ОКА-</t>
  </si>
  <si>
    <t>- наличие каналов C6H14 в ОКА-</t>
  </si>
  <si>
    <t>- наличие каналов CHopt в ОКА-</t>
  </si>
  <si>
    <t>- наличие ещё 1 любого канала в ОКА- с каналом O2</t>
  </si>
  <si>
    <t>сообщение об ошибках ввода</t>
  </si>
  <si>
    <t>части кода г/а ОКА-</t>
  </si>
  <si>
    <t>части кода технических особенностей</t>
  </si>
  <si>
    <t>примечание к ошибке ввода</t>
  </si>
  <si>
    <t>адрес результата</t>
  </si>
  <si>
    <t>подсказки к сигналам ошибок</t>
  </si>
  <si>
    <t>- выбор типа г/а Хоббит-Т</t>
  </si>
  <si>
    <t>- выбор типа г/а ОКА-</t>
  </si>
  <si>
    <t>- объединение подсказок</t>
  </si>
  <si>
    <t>примечание к результату ввода</t>
  </si>
  <si>
    <t>- 'ошибка взрывозащиты</t>
  </si>
  <si>
    <t>сообщение о взрывозащите</t>
  </si>
  <si>
    <t>примечание к взрывозащите</t>
  </si>
  <si>
    <t>сообщение об отказе на запрос</t>
  </si>
  <si>
    <t>адрес сообщения об отказе</t>
  </si>
  <si>
    <t>причины отказов</t>
  </si>
  <si>
    <t>- неверный символ исполнения</t>
  </si>
  <si>
    <t>- взрывозащита водорода</t>
  </si>
  <si>
    <t>- взрывозащита гирлянды</t>
  </si>
  <si>
    <t>- взрывозащита КНС</t>
  </si>
  <si>
    <t>- взрывозащита без дисплея</t>
  </si>
  <si>
    <t>- число взр/защ &gt; числа каналов</t>
  </si>
  <si>
    <t>в кол-ве взр/защ</t>
  </si>
  <si>
    <t>- к подсчёту ошибок</t>
  </si>
  <si>
    <t>примечание к отказу на запрос</t>
  </si>
  <si>
    <t>подсказки к причинам отказа</t>
  </si>
  <si>
    <t>заголовок раздела "ЦЕНЫ"</t>
  </si>
  <si>
    <t>отображение ошибок в заголовке</t>
  </si>
  <si>
    <t>подсказки об ошибках</t>
  </si>
  <si>
    <t>- ошибка ввода каналов</t>
  </si>
  <si>
    <t>- ошибка ввода взрывозащиты</t>
  </si>
  <si>
    <t>формула заголовка</t>
  </si>
  <si>
    <t>- взрывозащита более 1 ТКС</t>
  </si>
  <si>
    <t>- взрывозащита более 1 электрохимического сенсора при 1 ТКС</t>
  </si>
  <si>
    <t>- взрывозащита оптических сенсоров при 1 ТКС</t>
  </si>
  <si>
    <t>- взрывозащита более 2 э/х сенсоров</t>
  </si>
  <si>
    <t>- длина линии связи</t>
  </si>
  <si>
    <t>- наличие канала O2 в ОКА-</t>
  </si>
  <si>
    <t>- наличие канала O2 в ОКАа</t>
  </si>
  <si>
    <t>- наличие канала H2 в ОКА-</t>
  </si>
  <si>
    <t>- наличие канала CH4 в ОКА-</t>
  </si>
  <si>
    <t>- наличие канала C3H8 в ОКА-</t>
  </si>
  <si>
    <t>- наличие канала C6H14 в ОКА-</t>
  </si>
  <si>
    <t>- наличие канала CHopt в ОКА-</t>
  </si>
  <si>
    <t>- каналов &gt;5</t>
  </si>
  <si>
    <t>- каналов взрывозащищённого &gt;4</t>
  </si>
  <si>
    <t>- каналы CHopt, NO2 или HCl в Хоббит-Т</t>
  </si>
  <si>
    <t>- ошибка взрывозащиты</t>
  </si>
  <si>
    <t>смысл сообщения</t>
  </si>
  <si>
    <t>смысл примечания</t>
  </si>
  <si>
    <t>(где-то ошибка в количестве взрывозащищённых)</t>
  </si>
  <si>
    <r>
      <t xml:space="preserve">(взрывозащита каналов водорода пока </t>
    </r>
    <r>
      <rPr>
        <b/>
        <sz val="8"/>
        <color indexed="10"/>
        <rFont val="Arial Cyr"/>
        <family val="2"/>
      </rPr>
      <t>НЕ</t>
    </r>
    <r>
      <rPr>
        <sz val="8"/>
        <rFont val="Arial Cyr"/>
        <family val="2"/>
      </rPr>
      <t xml:space="preserve"> производится)</t>
    </r>
  </si>
  <si>
    <r>
      <t xml:space="preserve">(взрывозащита при наличии канала водорода пока </t>
    </r>
    <r>
      <rPr>
        <b/>
        <sz val="8"/>
        <color indexed="10"/>
        <rFont val="Arial Cyr"/>
        <family val="2"/>
      </rPr>
      <t>НЕ</t>
    </r>
    <r>
      <rPr>
        <sz val="8"/>
        <rFont val="Arial Cyr"/>
        <family val="2"/>
      </rPr>
      <t xml:space="preserve"> производится)</t>
    </r>
  </si>
  <si>
    <t>библиотека сообщений для переносных г/а</t>
  </si>
  <si>
    <t>библиотека сообщений для стационарных г/а</t>
  </si>
  <si>
    <t>- код цифрового интерфейса</t>
  </si>
  <si>
    <t>-С111</t>
  </si>
  <si>
    <t>-С110</t>
  </si>
  <si>
    <t>- цифровой интерфейс отсутствует</t>
  </si>
  <si>
    <t>- токовый выход отсутствует</t>
  </si>
  <si>
    <t>- код общей взрывозащиты датчиков</t>
  </si>
  <si>
    <t>- код видов сигнализации (есть всё)</t>
  </si>
  <si>
    <t>- сигнализация по RS отсутствует</t>
  </si>
  <si>
    <r>
      <t xml:space="preserve">если нужен кабель связи длиной, не равной 6 м, поставьте         </t>
    </r>
    <r>
      <rPr>
        <sz val="8"/>
        <color indexed="49"/>
        <rFont val="Arial Cyr"/>
        <family val="0"/>
      </rPr>
      <t>в голубую ячейку</t>
    </r>
    <r>
      <rPr>
        <sz val="8"/>
        <color indexed="10"/>
        <rFont val="Arial Cyr"/>
        <family val="2"/>
      </rPr>
      <t xml:space="preserve"> требуемую длину численно в метрах</t>
    </r>
    <r>
      <rPr>
        <b/>
        <sz val="10"/>
        <rFont val="Arial Cyr"/>
        <family val="2"/>
      </rPr>
      <t xml:space="preserve"> </t>
    </r>
    <r>
      <rPr>
        <b/>
        <sz val="8"/>
        <rFont val="Symbol"/>
        <family val="1"/>
      </rPr>
      <t>®</t>
    </r>
    <r>
      <rPr>
        <b/>
        <sz val="8"/>
        <color indexed="10"/>
        <rFont val="Symbol"/>
        <family val="1"/>
      </rPr>
      <t xml:space="preserve">  </t>
    </r>
  </si>
  <si>
    <t xml:space="preserve"> – без цифрового интерфейса</t>
  </si>
  <si>
    <t>- с графическим дисплеем</t>
  </si>
  <si>
    <t xml:space="preserve"> – интерфейс RS232</t>
  </si>
  <si>
    <t xml:space="preserve"> – интерфейс RS485</t>
  </si>
  <si>
    <r>
      <t xml:space="preserve">если </t>
    </r>
    <r>
      <rPr>
        <b/>
        <sz val="8"/>
        <rFont val="Arial Cyr"/>
        <family val="0"/>
      </rPr>
      <t>требуется RS232</t>
    </r>
    <r>
      <rPr>
        <sz val="8"/>
        <color indexed="57"/>
        <rFont val="Arial Cyr"/>
        <family val="2"/>
      </rPr>
      <t xml:space="preserve">, поставьте в зелёную ячейку цифру </t>
    </r>
    <r>
      <rPr>
        <b/>
        <sz val="8"/>
        <color indexed="57"/>
        <rFont val="Arial Cyr"/>
        <family val="2"/>
      </rPr>
      <t xml:space="preserve">1 </t>
    </r>
    <r>
      <rPr>
        <b/>
        <sz val="8"/>
        <color indexed="57"/>
        <rFont val="Symbol"/>
        <family val="1"/>
      </rPr>
      <t>®</t>
    </r>
    <r>
      <rPr>
        <b/>
        <sz val="8"/>
        <color indexed="25"/>
        <rFont val="Symbol"/>
        <family val="1"/>
      </rPr>
      <t xml:space="preserve"> </t>
    </r>
  </si>
  <si>
    <t>Т0</t>
  </si>
  <si>
    <t>Т1</t>
  </si>
  <si>
    <t>Т2</t>
  </si>
  <si>
    <t>Ц1</t>
  </si>
  <si>
    <t>Ц2</t>
  </si>
  <si>
    <t>Ц0</t>
  </si>
  <si>
    <t>Цена дополн. кабеля</t>
  </si>
  <si>
    <t>руб</t>
  </si>
  <si>
    <t xml:space="preserve"> – код IP53 взрывозащищённых блоков датчиков</t>
  </si>
  <si>
    <t>(</t>
  </si>
  <si>
    <t>)</t>
  </si>
  <si>
    <t>Добавка за кабель больше 6м</t>
  </si>
  <si>
    <t>F</t>
  </si>
  <si>
    <t>CxHx, H2</t>
  </si>
  <si>
    <t>Индикатор</t>
  </si>
  <si>
    <r>
      <t>CH</t>
    </r>
    <r>
      <rPr>
        <b/>
        <vertAlign val="subscript"/>
        <sz val="10"/>
        <rFont val="Arial"/>
        <family val="2"/>
      </rPr>
      <t>4</t>
    </r>
  </si>
  <si>
    <r>
      <t>C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>8</t>
    </r>
  </si>
  <si>
    <r>
      <t>C</t>
    </r>
    <r>
      <rPr>
        <b/>
        <vertAlign val="subscript"/>
        <sz val="10"/>
        <rFont val="Arial"/>
        <family val="2"/>
      </rPr>
      <t>6</t>
    </r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>14</t>
    </r>
  </si>
  <si>
    <r>
      <t>H</t>
    </r>
    <r>
      <rPr>
        <b/>
        <vertAlign val="subscript"/>
        <sz val="10"/>
        <rFont val="Arial"/>
        <family val="2"/>
      </rPr>
      <t>2</t>
    </r>
  </si>
  <si>
    <r>
      <t>CH</t>
    </r>
    <r>
      <rPr>
        <b/>
        <vertAlign val="subscript"/>
        <sz val="10"/>
        <rFont val="Arial"/>
        <family val="2"/>
      </rPr>
      <t>opt</t>
    </r>
  </si>
  <si>
    <r>
      <t>Cl</t>
    </r>
    <r>
      <rPr>
        <b/>
        <vertAlign val="subscript"/>
        <sz val="10"/>
        <rFont val="Arial"/>
        <family val="2"/>
      </rPr>
      <t>2</t>
    </r>
  </si>
  <si>
    <r>
      <t>NH</t>
    </r>
    <r>
      <rPr>
        <b/>
        <vertAlign val="subscript"/>
        <sz val="10"/>
        <rFont val="Arial"/>
        <family val="2"/>
      </rPr>
      <t>3</t>
    </r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</si>
  <si>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S</t>
    </r>
  </si>
  <si>
    <r>
      <t>SO</t>
    </r>
    <r>
      <rPr>
        <b/>
        <vertAlign val="subscript"/>
        <sz val="10"/>
        <rFont val="Arial"/>
        <family val="2"/>
      </rPr>
      <t>2</t>
    </r>
  </si>
  <si>
    <r>
      <t>CO</t>
    </r>
    <r>
      <rPr>
        <b/>
        <vertAlign val="subscript"/>
        <sz val="10"/>
        <rFont val="Arial"/>
        <family val="2"/>
      </rPr>
      <t>2</t>
    </r>
  </si>
  <si>
    <r>
      <t>F</t>
    </r>
    <r>
      <rPr>
        <b/>
        <vertAlign val="subscript"/>
        <sz val="10"/>
        <rFont val="Arial"/>
        <family val="2"/>
      </rPr>
      <t>2</t>
    </r>
  </si>
  <si>
    <r>
      <t>NO</t>
    </r>
    <r>
      <rPr>
        <b/>
        <vertAlign val="subscript"/>
        <sz val="10"/>
        <rFont val="Arial"/>
        <family val="2"/>
      </rPr>
      <t>2</t>
    </r>
  </si>
  <si>
    <r>
      <t>O</t>
    </r>
    <r>
      <rPr>
        <b/>
        <vertAlign val="subscript"/>
        <sz val="10"/>
        <rFont val="Arial"/>
        <family val="2"/>
      </rPr>
      <t>2</t>
    </r>
  </si>
  <si>
    <t>И13 
ВзА, ВзБ</t>
  </si>
  <si>
    <t>И11</t>
  </si>
  <si>
    <t>И22 (1-4 кан.)
И21 (1-16 кан.)</t>
  </si>
  <si>
    <t>И23</t>
  </si>
  <si>
    <r>
      <t xml:space="preserve">Обратите внимание, что всего должно быть </t>
    </r>
    <r>
      <rPr>
        <b/>
        <u val="single"/>
        <sz val="9"/>
        <rFont val="Arial Cyr"/>
        <family val="2"/>
      </rPr>
      <t>не более 5 каналов</t>
    </r>
    <r>
      <rPr>
        <u val="single"/>
        <sz val="9"/>
        <rFont val="Arial Cyr"/>
        <family val="2"/>
      </rPr>
      <t xml:space="preserve">, из которых не более 2 каналов контроля токсичных газов и не более 1 канала контроля горючих газов </t>
    </r>
  </si>
  <si>
    <r>
      <t xml:space="preserve">если </t>
    </r>
    <r>
      <rPr>
        <b/>
        <sz val="8"/>
        <rFont val="Arial Cyr"/>
        <family val="0"/>
      </rPr>
      <t>требуется токовый выход 4-20 мА</t>
    </r>
    <r>
      <rPr>
        <sz val="8"/>
        <color indexed="57"/>
        <rFont val="Arial Cyr"/>
        <family val="0"/>
      </rPr>
      <t xml:space="preserve">, поставьте в зелёную ячейку цифру </t>
    </r>
    <r>
      <rPr>
        <b/>
        <sz val="8"/>
        <color indexed="57"/>
        <rFont val="Arial Cyr"/>
        <family val="2"/>
      </rPr>
      <t xml:space="preserve">1 </t>
    </r>
    <r>
      <rPr>
        <b/>
        <sz val="8"/>
        <color indexed="57"/>
        <rFont val="Symbol"/>
        <family val="1"/>
      </rPr>
      <t>®</t>
    </r>
    <r>
      <rPr>
        <b/>
        <sz val="8"/>
        <color indexed="25"/>
        <rFont val="Symbol"/>
        <family val="1"/>
      </rPr>
      <t xml:space="preserve"> </t>
    </r>
  </si>
  <si>
    <t>Для данной модели анализатора обязательна пусконаладка на объекте Заказчика. Стоимость пусконаладочных работ- договорная.</t>
  </si>
  <si>
    <t>-/53</t>
  </si>
  <si>
    <t xml:space="preserve">И13 </t>
  </si>
  <si>
    <r>
      <t>F</t>
    </r>
    <r>
      <rPr>
        <b/>
        <vertAlign val="subscript"/>
        <sz val="10"/>
        <color indexed="62"/>
        <rFont val="Arial Cyr"/>
        <family val="2"/>
      </rPr>
      <t>2</t>
    </r>
  </si>
  <si>
    <t>ошибка</t>
  </si>
  <si>
    <t>-CO</t>
  </si>
  <si>
    <t>-CH4</t>
  </si>
  <si>
    <t>-C3H8</t>
  </si>
  <si>
    <t>-C6H14</t>
  </si>
  <si>
    <t>/Т</t>
  </si>
  <si>
    <t>:Т</t>
  </si>
  <si>
    <t>- КНС</t>
  </si>
  <si>
    <t>1.Наименование</t>
  </si>
  <si>
    <t>2.Перечень и количество каналов газов</t>
  </si>
  <si>
    <t>3.Исполнение</t>
  </si>
  <si>
    <t>4.Вариант защиты</t>
  </si>
  <si>
    <t>5. Выходной интерфейс</t>
  </si>
  <si>
    <t>6. Сигнализация</t>
  </si>
  <si>
    <t>7. Питание</t>
  </si>
  <si>
    <t>8. Взрывозащищённость</t>
  </si>
  <si>
    <t xml:space="preserve">1. Наименование: </t>
  </si>
  <si>
    <t>Пример: Хоббит-Т, ОКА-92МТ, ОКА-...</t>
  </si>
  <si>
    <t xml:space="preserve">2. Количество каналов измерения газа и его формула. </t>
  </si>
  <si>
    <t>О2, CH4, CO и т. п.</t>
  </si>
  <si>
    <t xml:space="preserve">Пример: -2О2-5CH4-9CO- (два датчика кислорода, пять датчиков метана, </t>
  </si>
  <si>
    <t>девять датчиков угарного газа).</t>
  </si>
  <si>
    <t>CO, H2S, SO2, Cl2, NH3, NO2, HCl, HF, CO2</t>
  </si>
  <si>
    <t>Пример: -O2/54-CH/53:Ex и т.п.</t>
  </si>
  <si>
    <t>3. Исполнение (И):</t>
  </si>
  <si>
    <t>И11 – переносные с выносным блоком датчика;</t>
  </si>
  <si>
    <t>И13 – персональные со встроенным блоком датчик;</t>
  </si>
  <si>
    <t>И21 – стационарные настенные газоанализаторы;</t>
  </si>
  <si>
    <t>И22 – стационарные малогабаритные газоанализаторы (DIN-рейка);</t>
  </si>
  <si>
    <t xml:space="preserve">И23 – стационарные газоанализаторы моноблочного исполнения; </t>
  </si>
  <si>
    <t>И2х(г) – то же, с возможностью соединения части (или всех) блоков датчиков по схеме "гирлянда". (последовательно один за одним)</t>
  </si>
  <si>
    <t xml:space="preserve">Пример: И21(г), И22(з) </t>
  </si>
  <si>
    <t xml:space="preserve">4. Меры защиты (без литеры): </t>
  </si>
  <si>
    <t xml:space="preserve">/Х/Y, где X – код IP Блока датчика, Y – код IP Блока индикации. </t>
  </si>
  <si>
    <t xml:space="preserve">Допускается после X и Y дополнительные меры защиты обозначать кратким примечанием: защита БД (в моноблоке – защита сенсоров) от конденсата может быть обозначена буквой :T после /X, взрывозащита некоторых БД – буквами :Ex после /X. </t>
  </si>
  <si>
    <t xml:space="preserve">5 Выходной интерфейс (Д-дисплей, Т-токовый выход, Ц- цифровой выход): </t>
  </si>
  <si>
    <t xml:space="preserve">Д0 – без дисплея, </t>
  </si>
  <si>
    <t xml:space="preserve">Т0 – без токового выхода, </t>
  </si>
  <si>
    <t xml:space="preserve">Т1 – 0-5 мА, </t>
  </si>
  <si>
    <t xml:space="preserve">Т2 – 4-20 мА; </t>
  </si>
  <si>
    <t xml:space="preserve">Ц0 – без цифрового выхода, </t>
  </si>
  <si>
    <t xml:space="preserve">Ц1 - RS232, </t>
  </si>
  <si>
    <t>Ц2 — RS485 (возможно Modbus RTU)</t>
  </si>
  <si>
    <t xml:space="preserve">Ц3 – RS422, </t>
  </si>
  <si>
    <t xml:space="preserve">Ц4 – Bluetooth, </t>
  </si>
  <si>
    <t>Ц5 – USB.</t>
  </si>
  <si>
    <t xml:space="preserve">6 Сигнализация (С): </t>
  </si>
  <si>
    <t>С000 – сигнализации нет, С100 – звук, С010 – свет, С001 – цифровая.</t>
  </si>
  <si>
    <t>Варианты-примеры: C011, C110 и т.п.</t>
  </si>
  <si>
    <t xml:space="preserve">7 Питание (без литеры): </t>
  </si>
  <si>
    <t>~х; =х; - постоянный или переменный ток, где х – напряжение в вольтах.</t>
  </si>
  <si>
    <t>либо</t>
  </si>
  <si>
    <t xml:space="preserve">8 Взрывозащищённость: </t>
  </si>
  <si>
    <t>Примечание: если в газоанализаторе есть взрывозащищённые датчики и датчики без средств взрывозащиты, то обозначение Ex ставится после формул газов в позиции 2.</t>
  </si>
  <si>
    <t>Ах — Аккумулятор; Бх -питание от батареи, где х – напряжение в вольтах.</t>
  </si>
  <si>
    <t xml:space="preserve">Ex – средства взрывозащиты с маркировкой согласно сертификату взрывозащищённости. </t>
  </si>
  <si>
    <t>Система кодировки вариантов исполнения газоанализаторов</t>
  </si>
  <si>
    <t>2.а. В случае особых мер защиты отдельных блоков датчиков (БД) – коды защиты прописываются после каждого БД (см. пп. 4 и 8).</t>
  </si>
  <si>
    <r>
      <rPr>
        <b/>
        <sz val="10"/>
        <rFont val="Arial Cyr"/>
        <family val="0"/>
      </rPr>
      <t>3.а</t>
    </r>
    <r>
      <rPr>
        <sz val="10"/>
        <rFont val="Arial Cyr"/>
        <family val="2"/>
      </rPr>
      <t xml:space="preserve"> И2х(з) – стационарный газоанализатор с возможностью соединять датчики по схеме "звезда" (каждый датчик соединяется с блоком индикации отдельным кабелем);</t>
    </r>
  </si>
  <si>
    <t>Примечание: на 16.09.2019 отличие газоанализаторов с «з» и «г» только в отсутствии/наличии монтажных коробок (МКБ). Количество выходов на датчики из блока индикации совпадает с количеством датчиков.</t>
  </si>
  <si>
    <t>В исполнении И13 скобки и символ отсутствует</t>
  </si>
  <si>
    <t>В исполнении И23(х); х- всегда буква «с»-системное исполнение. Пример: И23(с)</t>
  </si>
  <si>
    <t>В исполнении И11(х); х- длина кабеля в метрах (возможно 1...30м), по умолчанию -6м. Пример: И11(6), И11(10)</t>
  </si>
  <si>
    <r>
      <t>Примечание: знак</t>
    </r>
    <r>
      <rPr>
        <sz val="10"/>
        <rFont val="Arial Cyr"/>
        <family val="2"/>
      </rPr>
      <t xml:space="preserve"> "/" можно считать сокращением слова «IP»</t>
    </r>
  </si>
  <si>
    <t>Пример: -/54/50, -/65/50</t>
  </si>
  <si>
    <r>
      <rPr>
        <b/>
        <sz val="10"/>
        <rFont val="Arial Cyr"/>
        <family val="0"/>
      </rPr>
      <t>4.а</t>
    </r>
    <r>
      <rPr>
        <sz val="10"/>
        <rFont val="Arial Cyr"/>
        <family val="2"/>
      </rPr>
      <t xml:space="preserve"> /* вместо /X ставится, если коды IP указаны у обозначений БД.</t>
    </r>
  </si>
  <si>
    <t>с батареей - 5500 ч работы (временно не производим)</t>
  </si>
  <si>
    <t>Маркировка газоанализаторов «по-умолчанию» на 22.10.2019</t>
  </si>
  <si>
    <t>Стационарные 1-4 канала с цифровой индикацией И22Д2:</t>
  </si>
  <si>
    <t>Хоббит-Т-«формула газа»-И22(з)-/54/50-Д2Т1Ц2-С111-~220</t>
  </si>
  <si>
    <t>Наценка на IP65</t>
  </si>
  <si>
    <t xml:space="preserve"> – код IP65 всех блоков датчиков</t>
  </si>
  <si>
    <t>-/54</t>
  </si>
  <si>
    <t>-/65</t>
  </si>
  <si>
    <r>
      <t xml:space="preserve">при соединении некоторых датчиков </t>
    </r>
    <r>
      <rPr>
        <sz val="8"/>
        <color indexed="10"/>
        <rFont val="Arial Cyr"/>
        <family val="0"/>
      </rPr>
      <t>гирляндой</t>
    </r>
    <r>
      <rPr>
        <sz val="8"/>
        <color indexed="12"/>
        <rFont val="Arial CYR"/>
        <family val="2"/>
      </rPr>
      <t xml:space="preserve"> поставьте в голубую ячейку     цифру </t>
    </r>
    <r>
      <rPr>
        <b/>
        <sz val="8"/>
        <color indexed="12"/>
        <rFont val="Arial Cyr"/>
        <family val="2"/>
      </rPr>
      <t xml:space="preserve">1 </t>
    </r>
    <r>
      <rPr>
        <b/>
        <sz val="8"/>
        <color indexed="12"/>
        <rFont val="Symbol"/>
        <family val="1"/>
      </rPr>
      <t xml:space="preserve">® </t>
    </r>
  </si>
  <si>
    <r>
      <t xml:space="preserve">если нужна </t>
    </r>
    <r>
      <rPr>
        <sz val="8"/>
        <color indexed="10"/>
        <rFont val="Arial Cyr"/>
        <family val="0"/>
      </rPr>
      <t xml:space="preserve">взрывозащита </t>
    </r>
    <r>
      <rPr>
        <b/>
        <sz val="8"/>
        <color indexed="10"/>
        <rFont val="Arial Cyr"/>
        <family val="0"/>
      </rPr>
      <t>всех</t>
    </r>
    <r>
      <rPr>
        <sz val="8"/>
        <color indexed="10"/>
        <rFont val="Arial Cyr"/>
        <family val="0"/>
      </rPr>
      <t xml:space="preserve"> каналов</t>
    </r>
    <r>
      <rPr>
        <sz val="8"/>
        <color indexed="14"/>
        <rFont val="Arial Cyr"/>
        <family val="2"/>
      </rPr>
      <t xml:space="preserve">, поставьте в розовую ячейку цифру </t>
    </r>
    <r>
      <rPr>
        <b/>
        <sz val="8"/>
        <color indexed="14"/>
        <rFont val="Arial Cyr"/>
        <family val="2"/>
      </rPr>
      <t xml:space="preserve">1 </t>
    </r>
    <r>
      <rPr>
        <b/>
        <sz val="8"/>
        <color indexed="14"/>
        <rFont val="Symbol"/>
        <family val="1"/>
      </rPr>
      <t xml:space="preserve">® </t>
    </r>
  </si>
  <si>
    <r>
      <t xml:space="preserve">укажите в желтой ячейке факт. </t>
    </r>
    <r>
      <rPr>
        <sz val="8"/>
        <color indexed="10"/>
        <rFont val="Arial Cyr"/>
        <family val="0"/>
      </rPr>
      <t>кол-во</t>
    </r>
    <r>
      <rPr>
        <sz val="8"/>
        <rFont val="Arial Cyr"/>
        <family val="2"/>
      </rPr>
      <t xml:space="preserve"> блоков реле </t>
    </r>
    <r>
      <rPr>
        <sz val="8"/>
        <color indexed="10"/>
        <rFont val="Arial Cyr"/>
        <family val="0"/>
      </rPr>
      <t>БР10</t>
    </r>
    <r>
      <rPr>
        <sz val="8"/>
        <rFont val="Arial Cyr"/>
        <family val="2"/>
      </rPr>
      <t xml:space="preserve">: </t>
    </r>
  </si>
  <si>
    <r>
      <t xml:space="preserve">(взрывозащита датчиков с IP65 </t>
    </r>
    <r>
      <rPr>
        <b/>
        <sz val="8"/>
        <color indexed="10"/>
        <rFont val="Arial Cyr"/>
        <family val="2"/>
      </rPr>
      <t>НЕ</t>
    </r>
    <r>
      <rPr>
        <sz val="8"/>
        <rFont val="Arial Cyr"/>
        <family val="2"/>
      </rPr>
      <t xml:space="preserve"> предусмотрена)</t>
    </r>
  </si>
  <si>
    <t xml:space="preserve"> число взр/защ указано неверно</t>
  </si>
  <si>
    <t xml:space="preserve"> -IP_65 и взрыв</t>
  </si>
  <si>
    <t>Взаимодействия КНС/IP65/гирлянда</t>
  </si>
  <si>
    <t>Гирлянда</t>
  </si>
  <si>
    <t>Описание</t>
  </si>
  <si>
    <t xml:space="preserve"> IP65</t>
  </si>
  <si>
    <t>КНС</t>
  </si>
  <si>
    <r>
      <t>для исполнения датчиков с защитой</t>
    </r>
    <r>
      <rPr>
        <sz val="8"/>
        <color indexed="10"/>
        <rFont val="Arial Cyr"/>
        <family val="0"/>
      </rPr>
      <t xml:space="preserve"> IP65 + гирлянда</t>
    </r>
    <r>
      <rPr>
        <sz val="8"/>
        <color indexed="53"/>
        <rFont val="Arial Cyr"/>
        <family val="2"/>
      </rPr>
      <t xml:space="preserve"> поставьте в рыжую ячейку цифру </t>
    </r>
    <r>
      <rPr>
        <b/>
        <sz val="8"/>
        <color indexed="53"/>
        <rFont val="Arial Cyr"/>
        <family val="2"/>
      </rPr>
      <t xml:space="preserve">1 </t>
    </r>
    <r>
      <rPr>
        <b/>
        <sz val="8"/>
        <color indexed="53"/>
        <rFont val="Symbol"/>
        <family val="1"/>
      </rPr>
      <t xml:space="preserve">® </t>
    </r>
  </si>
  <si>
    <r>
      <t xml:space="preserve">для исполнения датчиков, устойчивых к влаге и агрессивной среде (для </t>
    </r>
    <r>
      <rPr>
        <sz val="8"/>
        <color indexed="10"/>
        <rFont val="Arial Cyr"/>
        <family val="0"/>
      </rPr>
      <t>КНС/мороз + гирлянда</t>
    </r>
    <r>
      <rPr>
        <sz val="8"/>
        <color indexed="62"/>
        <rFont val="Arial Cyr"/>
        <family val="2"/>
      </rPr>
      <t xml:space="preserve">) поставьте в фиолетовую ячейку цифру </t>
    </r>
    <r>
      <rPr>
        <b/>
        <sz val="8"/>
        <color indexed="62"/>
        <rFont val="Arial Cyr"/>
        <family val="2"/>
      </rPr>
      <t xml:space="preserve">1 </t>
    </r>
    <r>
      <rPr>
        <b/>
        <sz val="8"/>
        <color indexed="62"/>
        <rFont val="Symbol"/>
        <family val="1"/>
      </rPr>
      <t xml:space="preserve">® </t>
    </r>
  </si>
  <si>
    <t xml:space="preserve">тел./факс (812) 336-42-06, 552-29-42, 591-67-05. </t>
  </si>
  <si>
    <t>Д2 – с графическим дисплеем; память показаний.</t>
  </si>
  <si>
    <t>Цены стационарных моноблоков ОКА (без НДС), количество порогов - по умолчанию</t>
  </si>
  <si>
    <t>http://www.infogas.ru/monoblok</t>
  </si>
  <si>
    <t>Дополнительная информацию можно получить здесь:</t>
  </si>
  <si>
    <t xml:space="preserve">IP 65
Для КНС / морозильных камер </t>
  </si>
  <si>
    <t>IP 65</t>
  </si>
  <si>
    <t>Исполнение с "токовым выходом" или "звуковой сигнализацией" - делается только по спецзаказу</t>
  </si>
  <si>
    <t>IP 54
Общепром. исп.</t>
  </si>
  <si>
    <t>к газоанализаторам ОКА и Хоббит-Т, во втором - с подогревом, в третьем - конструкции по ТЗ заказчика</t>
  </si>
  <si>
    <t>изменена 20.03.2020</t>
  </si>
  <si>
    <t>Монтажная коробка МКТ-1</t>
  </si>
  <si>
    <t>60 руб/м + 150руб</t>
  </si>
  <si>
    <t>60 руб/м + 250руб</t>
  </si>
  <si>
    <t>Зарядное устройство БПУ-6  PC4</t>
  </si>
  <si>
    <t>Зарядное устройство БПУ-6(Р) PY07-04</t>
  </si>
  <si>
    <t>Зарядное устройство БПУ-7(4)Р PY07-04</t>
  </si>
  <si>
    <t>Зарядное устройство БПУ-7(4) DB-9</t>
  </si>
  <si>
    <t>Блок питания БП-35-24 (24В, 60Вт)</t>
  </si>
  <si>
    <t>серийные блоки датчиков</t>
  </si>
  <si>
    <t>серийных блоков датчиков в исп. "Хоббит-ТВ"</t>
  </si>
  <si>
    <t>серийные блоки датчиков в исп. для морозиньных камер / для КНС</t>
  </si>
  <si>
    <t xml:space="preserve"> блоки датчиков/ гирлянда, DB9/PASS выпущ. до 2011 г.</t>
  </si>
  <si>
    <t>Датчик для г/а "Хоббит-Т", "ОКА",   CO</t>
  </si>
  <si>
    <t>Датчик для г/а "Хоббит-Т", "ОКА",   CH4</t>
  </si>
  <si>
    <t>Датчик для г/а "Хоббит-Т", "ОКА",   C3H8</t>
  </si>
  <si>
    <t>Датчик для г/а "Хоббит-Т", "ОКА",   C6H14</t>
  </si>
  <si>
    <t>Датчик для г/а "Хоббит-Т", "ОКА",   H2</t>
  </si>
  <si>
    <t>Датчик для г/а "Хоббит-Т", "ОКА",   Chopt</t>
  </si>
  <si>
    <t>Датчик для г/а "Хоббит-Т", "ОКА",   Cl2</t>
  </si>
  <si>
    <t>Датчик для г/а "Хоббит-Т", "ОКА",   H2S</t>
  </si>
  <si>
    <t>Датчик для г/а "Хоббит-Т", "ОКА",   SO2</t>
  </si>
  <si>
    <t>Датчик для г/а "Хоббит-Т", "ОКА",   NH3</t>
  </si>
  <si>
    <t>Датчик для г/а "Хоббит-Т", "ОКА",   O2</t>
  </si>
  <si>
    <t>Датчик для г/а "ОКА",                         HCl</t>
  </si>
  <si>
    <t>Датчик для г/а "Хоббит-Т", "ОКА",   CO2</t>
  </si>
  <si>
    <t>Датчик для г/а "ОКА",                         NO2</t>
  </si>
  <si>
    <t>Датчик для г/а "Хоббит-Т", "ОКА",   HF</t>
  </si>
  <si>
    <t>Цена без НДС</t>
  </si>
  <si>
    <t>СООБЩЕНИЯ К СТРАНИЦАМ РАСЧЁТА ЦЕН ПЕРСОНАЛЬНЫМ Г/А</t>
  </si>
  <si>
    <t>в Доработке…..</t>
  </si>
  <si>
    <t>- взрывозащита более 2 электрохимических сенсоров при 1 ТКС</t>
  </si>
  <si>
    <t xml:space="preserve">Врывозащищенные исполнения (возможно только одноканальное исполнение) </t>
  </si>
  <si>
    <t>Наценка за врывозащиту</t>
  </si>
  <si>
    <t>аккумуляторный</t>
  </si>
  <si>
    <t>батарейка</t>
  </si>
  <si>
    <t xml:space="preserve"> блоки датчиков,  выпущ. до 2006 г.</t>
  </si>
  <si>
    <t xml:space="preserve"> – код IP543 взрывозащищённых блоков датчиков</t>
  </si>
  <si>
    <t xml:space="preserve"> доп.канал + 6000руб</t>
  </si>
  <si>
    <t>Генерируемые газы</t>
  </si>
  <si>
    <t>(при наличии термокаталитического сенсора взрывозащита не допускает более 2 электрохимического сенсора)</t>
  </si>
  <si>
    <t>по запросу</t>
  </si>
  <si>
    <t>не изг</t>
  </si>
  <si>
    <t>1. Гирлянда =350руб</t>
  </si>
  <si>
    <t>2. IP65 = Гирлянда + 280руб</t>
  </si>
  <si>
    <t>3. КНС = IP65 + 1160руб</t>
  </si>
  <si>
    <t>Адаптер для  поверки г/а «ОКА» и «Хоббит-Т»</t>
  </si>
  <si>
    <t>_</t>
  </si>
  <si>
    <t xml:space="preserve">Возможные газы (по сост.на 29.09.2021): O2, H2, CH4, C3H8, C6H14, CHоpt (оптич.сенсор),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</si>
</sst>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mm/yy"/>
    <numFmt numFmtId="174" formatCode="mm/dd/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83">
    <font>
      <sz val="10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vertAlign val="subscript"/>
      <sz val="16"/>
      <name val="Times New Roman"/>
      <family val="1"/>
    </font>
    <font>
      <b/>
      <vertAlign val="subscript"/>
      <sz val="12"/>
      <name val="Times New Roman"/>
      <family val="1"/>
    </font>
    <font>
      <sz val="8"/>
      <name val="Times New Roman"/>
      <family val="1"/>
    </font>
    <font>
      <vertAlign val="subscript"/>
      <sz val="10"/>
      <name val="Times New Roman"/>
      <family val="1"/>
    </font>
    <font>
      <sz val="9"/>
      <name val="Times New Roman"/>
      <family val="1"/>
    </font>
    <font>
      <vertAlign val="subscript"/>
      <sz val="8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u val="single"/>
      <sz val="10"/>
      <color indexed="12"/>
      <name val="Arial Cyr"/>
      <family val="2"/>
    </font>
    <font>
      <b/>
      <vertAlign val="subscript"/>
      <sz val="9"/>
      <name val="Times New Roman"/>
      <family val="1"/>
    </font>
    <font>
      <b/>
      <sz val="8"/>
      <name val="Times New Roman"/>
      <family val="1"/>
    </font>
    <font>
      <b/>
      <vertAlign val="subscript"/>
      <sz val="8"/>
      <name val="Times New Roman"/>
      <family val="1"/>
    </font>
    <font>
      <b/>
      <vertAlign val="subscript"/>
      <sz val="10"/>
      <name val="Times New Roman"/>
      <family val="1"/>
    </font>
    <font>
      <b/>
      <u val="single"/>
      <sz val="10"/>
      <name val="Times New Roman"/>
      <family val="1"/>
    </font>
    <font>
      <sz val="2"/>
      <name val="Times New Roman"/>
      <family val="1"/>
    </font>
    <font>
      <b/>
      <vertAlign val="subscript"/>
      <sz val="11"/>
      <name val="Times New Roman"/>
      <family val="1"/>
    </font>
    <font>
      <vertAlign val="subscript"/>
      <sz val="10"/>
      <name val="Arial Cyr"/>
      <family val="2"/>
    </font>
    <font>
      <b/>
      <sz val="11"/>
      <name val="Times New Roman"/>
      <family val="1"/>
    </font>
    <font>
      <b/>
      <sz val="9"/>
      <color indexed="9"/>
      <name val="Times New Roman"/>
      <family val="1"/>
    </font>
    <font>
      <b/>
      <sz val="9"/>
      <name val="Symbol"/>
      <family val="1"/>
    </font>
    <font>
      <b/>
      <sz val="10"/>
      <name val="Symbol"/>
      <family val="1"/>
    </font>
    <font>
      <sz val="12"/>
      <name val="Times New Roman"/>
      <family val="1"/>
    </font>
    <font>
      <b/>
      <u val="single"/>
      <sz val="9"/>
      <name val="Times New Roman"/>
      <family val="1"/>
    </font>
    <font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13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u val="single"/>
      <sz val="14"/>
      <color indexed="12"/>
      <name val="Arial Cyr"/>
      <family val="2"/>
    </font>
    <font>
      <b/>
      <sz val="10"/>
      <name val="Arial Cyr"/>
      <family val="2"/>
    </font>
    <font>
      <vertAlign val="subscript"/>
      <sz val="11"/>
      <name val="Times New Roman"/>
      <family val="1"/>
    </font>
    <font>
      <b/>
      <sz val="10"/>
      <color indexed="12"/>
      <name val="Arial Cyr"/>
      <family val="2"/>
    </font>
    <font>
      <sz val="8"/>
      <name val="Arial Cyr"/>
      <family val="2"/>
    </font>
    <font>
      <u val="single"/>
      <sz val="10"/>
      <name val="Arial Cyr"/>
      <family val="2"/>
    </font>
    <font>
      <b/>
      <sz val="12"/>
      <color indexed="10"/>
      <name val="Arial Cyr"/>
      <family val="2"/>
    </font>
    <font>
      <sz val="10"/>
      <color indexed="27"/>
      <name val="Arial Cyr"/>
      <family val="2"/>
    </font>
    <font>
      <b/>
      <sz val="10"/>
      <color indexed="27"/>
      <name val="Arial Cyr"/>
      <family val="2"/>
    </font>
    <font>
      <b/>
      <sz val="8"/>
      <color indexed="9"/>
      <name val="Arial Cyr"/>
      <family val="2"/>
    </font>
    <font>
      <b/>
      <sz val="10"/>
      <color indexed="10"/>
      <name val="Arial Cyr"/>
      <family val="2"/>
    </font>
    <font>
      <sz val="8"/>
      <color indexed="9"/>
      <name val="Arial Cyr"/>
      <family val="2"/>
    </font>
    <font>
      <b/>
      <sz val="9"/>
      <color indexed="25"/>
      <name val="Arial Cyr"/>
      <family val="2"/>
    </font>
    <font>
      <b/>
      <sz val="9"/>
      <color indexed="12"/>
      <name val="Arial Cyr"/>
      <family val="2"/>
    </font>
    <font>
      <sz val="9"/>
      <name val="Arial Cyr"/>
      <family val="2"/>
    </font>
    <font>
      <b/>
      <sz val="10"/>
      <color indexed="43"/>
      <name val="Arial Cyr"/>
      <family val="2"/>
    </font>
    <font>
      <b/>
      <vertAlign val="subscript"/>
      <sz val="10"/>
      <color indexed="43"/>
      <name val="Arial Cyr"/>
      <family val="2"/>
    </font>
    <font>
      <b/>
      <sz val="8"/>
      <name val="Arial Cyr"/>
      <family val="2"/>
    </font>
    <font>
      <sz val="10"/>
      <color indexed="12"/>
      <name val="Arial CYR"/>
      <family val="2"/>
    </font>
    <font>
      <b/>
      <sz val="14"/>
      <name val="Arial Cyr"/>
      <family val="2"/>
    </font>
    <font>
      <b/>
      <sz val="10"/>
      <color indexed="9"/>
      <name val="Arial Cyr"/>
      <family val="2"/>
    </font>
    <font>
      <b/>
      <vertAlign val="subscript"/>
      <sz val="10"/>
      <color indexed="9"/>
      <name val="Arial Cyr"/>
      <family val="2"/>
    </font>
    <font>
      <sz val="10"/>
      <color indexed="9"/>
      <name val="Arial Cyr"/>
      <family val="2"/>
    </font>
    <font>
      <strike/>
      <sz val="8"/>
      <name val="Arial Cyr"/>
      <family val="2"/>
    </font>
    <font>
      <b/>
      <sz val="8"/>
      <name val="Symbol"/>
      <family val="1"/>
    </font>
    <font>
      <sz val="8"/>
      <color indexed="14"/>
      <name val="Arial Cyr"/>
      <family val="2"/>
    </font>
    <font>
      <b/>
      <sz val="8"/>
      <color indexed="14"/>
      <name val="Symbol"/>
      <family val="1"/>
    </font>
    <font>
      <sz val="8"/>
      <color indexed="12"/>
      <name val="Arial CYR"/>
      <family val="2"/>
    </font>
    <font>
      <b/>
      <sz val="8"/>
      <color indexed="12"/>
      <name val="Symbol"/>
      <family val="1"/>
    </font>
    <font>
      <b/>
      <sz val="8"/>
      <color indexed="25"/>
      <name val="Symbol"/>
      <family val="1"/>
    </font>
    <font>
      <b/>
      <sz val="12"/>
      <color indexed="12"/>
      <name val="Arial Cyr"/>
      <family val="2"/>
    </font>
    <font>
      <sz val="10"/>
      <color indexed="21"/>
      <name val="Arial Cyr"/>
      <family val="2"/>
    </font>
    <font>
      <u val="single"/>
      <sz val="9"/>
      <name val="Arial Cyr"/>
      <family val="2"/>
    </font>
    <font>
      <b/>
      <u val="single"/>
      <sz val="9"/>
      <name val="Arial Cyr"/>
      <family val="2"/>
    </font>
    <font>
      <sz val="8"/>
      <color indexed="43"/>
      <name val="Arial Cyr"/>
      <family val="2"/>
    </font>
    <font>
      <b/>
      <sz val="10"/>
      <color indexed="9"/>
      <name val="Times New Roman"/>
      <family val="1"/>
    </font>
    <font>
      <b/>
      <sz val="8"/>
      <color indexed="9"/>
      <name val="Times New Roman"/>
      <family val="1"/>
    </font>
    <font>
      <strike/>
      <sz val="8"/>
      <name val="Arial"/>
      <family val="2"/>
    </font>
    <font>
      <strike/>
      <sz val="10"/>
      <name val="Arial Cyr"/>
      <family val="2"/>
    </font>
    <font>
      <sz val="8"/>
      <color indexed="10"/>
      <name val="Arial Cyr"/>
      <family val="2"/>
    </font>
    <font>
      <b/>
      <sz val="8"/>
      <color indexed="10"/>
      <name val="Symbol"/>
      <family val="1"/>
    </font>
    <font>
      <b/>
      <sz val="9"/>
      <name val="Arial Cyr"/>
      <family val="2"/>
    </font>
    <font>
      <b/>
      <sz val="10"/>
      <color indexed="23"/>
      <name val="Arial Cyr"/>
      <family val="2"/>
    </font>
    <font>
      <sz val="10"/>
      <color indexed="45"/>
      <name val="Arial Cyr"/>
      <family val="2"/>
    </font>
    <font>
      <b/>
      <sz val="8"/>
      <color indexed="45"/>
      <name val="Arial Cyr"/>
      <family val="2"/>
    </font>
    <font>
      <sz val="10"/>
      <color indexed="45"/>
      <name val="Times New Roman"/>
      <family val="1"/>
    </font>
    <font>
      <sz val="10"/>
      <color indexed="10"/>
      <name val="Arial Cyr"/>
      <family val="2"/>
    </font>
    <font>
      <b/>
      <sz val="10"/>
      <color indexed="45"/>
      <name val="Times New Roman"/>
      <family val="1"/>
    </font>
    <font>
      <b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45"/>
      <name val="Arial Cyr"/>
      <family val="2"/>
    </font>
    <font>
      <vertAlign val="subscript"/>
      <sz val="10"/>
      <color indexed="45"/>
      <name val="Times New Roman"/>
      <family val="1"/>
    </font>
    <font>
      <sz val="10"/>
      <color indexed="12"/>
      <name val="Times New Roman"/>
      <family val="1"/>
    </font>
    <font>
      <b/>
      <vertAlign val="subscript"/>
      <sz val="10"/>
      <color indexed="12"/>
      <name val="Arial Cyr"/>
      <family val="2"/>
    </font>
    <font>
      <b/>
      <sz val="8"/>
      <color indexed="10"/>
      <name val="Arial Cyr"/>
      <family val="2"/>
    </font>
    <font>
      <sz val="6"/>
      <name val="Times New Roman"/>
      <family val="1"/>
    </font>
    <font>
      <vertAlign val="subscript"/>
      <sz val="6"/>
      <name val="Times New Roman"/>
      <family val="1"/>
    </font>
    <font>
      <strike/>
      <sz val="9"/>
      <name val="Times New Roman"/>
      <family val="1"/>
    </font>
    <font>
      <strike/>
      <vertAlign val="subscript"/>
      <sz val="9"/>
      <name val="Times New Roman"/>
      <family val="1"/>
    </font>
    <font>
      <strike/>
      <vertAlign val="subscript"/>
      <sz val="11"/>
      <name val="Times New Roman"/>
      <family val="1"/>
    </font>
    <font>
      <b/>
      <strike/>
      <sz val="10"/>
      <color indexed="10"/>
      <name val="Arial Cyr"/>
      <family val="2"/>
    </font>
    <font>
      <b/>
      <strike/>
      <sz val="10"/>
      <color indexed="12"/>
      <name val="Arial Cyr"/>
      <family val="2"/>
    </font>
    <font>
      <b/>
      <sz val="12"/>
      <color indexed="12"/>
      <name val="Times New Roman"/>
      <family val="1"/>
    </font>
    <font>
      <i/>
      <sz val="8"/>
      <color indexed="12"/>
      <name val="Arial Cyr"/>
      <family val="2"/>
    </font>
    <font>
      <sz val="9"/>
      <color indexed="23"/>
      <name val="Arial Cyr"/>
      <family val="2"/>
    </font>
    <font>
      <b/>
      <sz val="10"/>
      <color indexed="62"/>
      <name val="Arial Cyr"/>
      <family val="2"/>
    </font>
    <font>
      <b/>
      <vertAlign val="subscript"/>
      <sz val="10"/>
      <color indexed="62"/>
      <name val="Arial Cyr"/>
      <family val="2"/>
    </font>
    <font>
      <b/>
      <strike/>
      <sz val="10"/>
      <name val="Times New Roman"/>
      <family val="1"/>
    </font>
    <font>
      <strike/>
      <sz val="10"/>
      <name val="Times New Roman"/>
      <family val="1"/>
    </font>
    <font>
      <b/>
      <sz val="10"/>
      <color indexed="10"/>
      <name val="Times New Roman"/>
      <family val="1"/>
    </font>
    <font>
      <sz val="8"/>
      <color indexed="57"/>
      <name val="Arial Cyr"/>
      <family val="0"/>
    </font>
    <font>
      <b/>
      <sz val="8"/>
      <color indexed="57"/>
      <name val="Symbol"/>
      <family val="1"/>
    </font>
    <font>
      <strike/>
      <sz val="10"/>
      <color indexed="12"/>
      <name val="Arial Cyr"/>
      <family val="2"/>
    </font>
    <font>
      <b/>
      <sz val="8"/>
      <color indexed="14"/>
      <name val="Arial Cyr"/>
      <family val="2"/>
    </font>
    <font>
      <b/>
      <sz val="8"/>
      <color indexed="12"/>
      <name val="Arial Cyr"/>
      <family val="2"/>
    </font>
    <font>
      <b/>
      <sz val="8"/>
      <color indexed="57"/>
      <name val="Arial Cyr"/>
      <family val="2"/>
    </font>
    <font>
      <sz val="7"/>
      <name val="Symbol"/>
      <family val="1"/>
    </font>
    <font>
      <sz val="7"/>
      <name val="Arial Cyr"/>
      <family val="2"/>
    </font>
    <font>
      <strike/>
      <sz val="7"/>
      <name val="Symbol"/>
      <family val="1"/>
    </font>
    <font>
      <sz val="8"/>
      <color indexed="49"/>
      <name val="Arial Cyr"/>
      <family val="0"/>
    </font>
    <font>
      <sz val="9"/>
      <color indexed="9"/>
      <name val="Arial Cyr"/>
      <family val="2"/>
    </font>
    <font>
      <sz val="14"/>
      <color indexed="49"/>
      <name val="Arial Cyr"/>
      <family val="2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9"/>
      <name val="Arial"/>
      <family val="2"/>
    </font>
    <font>
      <b/>
      <sz val="48"/>
      <name val="Arial Cyr"/>
      <family val="0"/>
    </font>
    <font>
      <b/>
      <sz val="36"/>
      <name val="Arial Cyr"/>
      <family val="0"/>
    </font>
    <font>
      <b/>
      <sz val="18"/>
      <name val="Arial Cyr"/>
      <family val="0"/>
    </font>
    <font>
      <b/>
      <sz val="12"/>
      <color indexed="62"/>
      <name val="Arial Cyr"/>
      <family val="0"/>
    </font>
    <font>
      <sz val="48"/>
      <name val="Arial Cyr"/>
      <family val="2"/>
    </font>
    <font>
      <sz val="36"/>
      <name val="Arial Cyr"/>
      <family val="2"/>
    </font>
    <font>
      <b/>
      <sz val="28"/>
      <name val="Arial Cyr"/>
      <family val="0"/>
    </font>
    <font>
      <b/>
      <sz val="8"/>
      <color indexed="62"/>
      <name val="Arial Cyr"/>
      <family val="2"/>
    </font>
    <font>
      <b/>
      <sz val="8"/>
      <color indexed="62"/>
      <name val="Symbol"/>
      <family val="1"/>
    </font>
    <font>
      <b/>
      <sz val="12"/>
      <name val="Arial Cyr"/>
      <family val="0"/>
    </font>
    <font>
      <sz val="8"/>
      <color indexed="62"/>
      <name val="Arial Cyr"/>
      <family val="2"/>
    </font>
    <font>
      <sz val="8"/>
      <color indexed="53"/>
      <name val="Arial Cyr"/>
      <family val="2"/>
    </font>
    <font>
      <b/>
      <sz val="8"/>
      <color indexed="53"/>
      <name val="Arial Cyr"/>
      <family val="2"/>
    </font>
    <font>
      <b/>
      <sz val="8"/>
      <color indexed="53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b/>
      <sz val="8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7030A0"/>
      <name val="Arial Cyr"/>
      <family val="2"/>
    </font>
    <font>
      <b/>
      <sz val="10"/>
      <color theme="1"/>
      <name val="Arial Cyr"/>
      <family val="2"/>
    </font>
    <font>
      <sz val="9"/>
      <color theme="1"/>
      <name val="Arial Cyr"/>
      <family val="2"/>
    </font>
    <font>
      <b/>
      <sz val="10"/>
      <color theme="0"/>
      <name val="Arial Cyr"/>
      <family val="2"/>
    </font>
    <font>
      <sz val="8"/>
      <color theme="9"/>
      <name val="Arial Cyr"/>
      <family val="2"/>
    </font>
    <font>
      <sz val="10"/>
      <color theme="0"/>
      <name val="Arial Cyr"/>
      <family val="2"/>
    </font>
    <font>
      <b/>
      <sz val="8"/>
      <color theme="1"/>
      <name val="Arial Cyr"/>
      <family val="2"/>
    </font>
    <font>
      <sz val="8"/>
      <color theme="0"/>
      <name val="Arial Cyr"/>
      <family val="2"/>
    </font>
    <font>
      <sz val="10"/>
      <color rgb="FFFF0000"/>
      <name val="Arial Cyr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gray0625">
        <fgColor indexed="26"/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gray0625">
        <fgColor indexed="26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indexed="62"/>
        <bgColor indexed="64"/>
      </patternFill>
    </fill>
  </fills>
  <borders count="1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/>
      <bottom style="medium">
        <color indexed="63"/>
      </bottom>
    </border>
    <border>
      <left/>
      <right style="medium">
        <color indexed="63"/>
      </right>
      <top/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/>
      <top/>
      <bottom/>
    </border>
    <border>
      <left/>
      <right style="medium">
        <color indexed="63"/>
      </right>
      <top style="medium">
        <color indexed="63"/>
      </top>
      <bottom/>
    </border>
    <border>
      <left/>
      <right style="medium">
        <color indexed="63"/>
      </right>
      <top/>
      <bottom/>
    </border>
    <border>
      <left/>
      <right style="medium">
        <color indexed="63"/>
      </right>
      <top/>
      <bottom style="thick">
        <color indexed="63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medium">
        <color indexed="63"/>
      </right>
      <top style="medium">
        <color indexed="63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63"/>
      </left>
      <right style="medium">
        <color indexed="63"/>
      </right>
      <top/>
      <bottom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63"/>
      </right>
      <top/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/>
      <bottom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/>
    </border>
    <border>
      <left/>
      <right/>
      <top/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15"/>
      </bottom>
    </border>
    <border>
      <left/>
      <right style="medium">
        <color indexed="8"/>
      </right>
      <top/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 style="medium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15"/>
      </bottom>
    </border>
    <border>
      <left style="medium">
        <color indexed="63"/>
      </left>
      <right style="medium">
        <color indexed="63"/>
      </right>
      <top style="thin">
        <color indexed="63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63"/>
      </right>
      <top style="medium">
        <color indexed="8"/>
      </top>
      <bottom style="thin">
        <color indexed="15"/>
      </bottom>
    </border>
    <border>
      <left style="medium">
        <color indexed="63"/>
      </left>
      <right style="medium">
        <color indexed="8"/>
      </right>
      <top style="medium">
        <color indexed="8"/>
      </top>
      <bottom style="thin">
        <color indexed="63"/>
      </bottom>
    </border>
    <border>
      <left style="medium">
        <color indexed="63"/>
      </left>
      <right style="medium">
        <color indexed="8"/>
      </right>
      <top style="thin">
        <color indexed="63"/>
      </top>
      <bottom style="thin">
        <color indexed="63"/>
      </bottom>
    </border>
    <border>
      <left/>
      <right style="medium">
        <color indexed="63"/>
      </right>
      <top/>
      <bottom style="thin">
        <color indexed="9"/>
      </bottom>
    </border>
    <border>
      <left style="medium">
        <color indexed="63"/>
      </left>
      <right style="medium">
        <color indexed="8"/>
      </right>
      <top style="thin"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63"/>
      </right>
      <top/>
      <bottom/>
    </border>
    <border>
      <left style="medium">
        <color indexed="63"/>
      </left>
      <right/>
      <top style="medium">
        <color indexed="63"/>
      </top>
      <bottom style="thin">
        <color indexed="63"/>
      </bottom>
    </border>
    <border>
      <left/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/>
      <top style="medium">
        <color indexed="63"/>
      </top>
      <bottom/>
    </border>
    <border>
      <left style="medium">
        <color indexed="63"/>
      </left>
      <right/>
      <top/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 style="medium">
        <color indexed="63"/>
      </left>
      <right/>
      <top style="thick">
        <color indexed="63"/>
      </top>
      <bottom style="thick">
        <color indexed="63"/>
      </bottom>
    </border>
    <border>
      <left style="medium">
        <color indexed="63"/>
      </left>
      <right/>
      <top style="thick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/>
      <bottom style="thin">
        <color indexed="63"/>
      </bottom>
    </border>
    <border>
      <left/>
      <right style="medium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/>
      <right/>
      <top style="medium">
        <color indexed="63"/>
      </top>
      <bottom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/>
      <bottom style="thin">
        <color indexed="63"/>
      </bottom>
    </border>
    <border>
      <left style="medium">
        <color indexed="63"/>
      </left>
      <right style="thin">
        <color indexed="63"/>
      </right>
      <top/>
      <bottom style="medium">
        <color indexed="63"/>
      </bottom>
    </border>
    <border>
      <left style="medium">
        <color indexed="63"/>
      </left>
      <right/>
      <top/>
      <bottom style="thin">
        <color indexed="63"/>
      </bottom>
    </border>
    <border>
      <left/>
      <right/>
      <top/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/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/>
      <top style="thin">
        <color indexed="63"/>
      </top>
      <bottom style="medium">
        <color indexed="63"/>
      </bottom>
    </border>
    <border>
      <left/>
      <right style="medium">
        <color indexed="63"/>
      </right>
      <top style="thin">
        <color indexed="63"/>
      </top>
      <bottom style="medium"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indexed="63"/>
      </left>
      <right style="medium">
        <color indexed="8"/>
      </right>
      <top style="thin">
        <color indexed="63"/>
      </top>
      <bottom/>
    </border>
    <border>
      <left style="medium">
        <color indexed="63"/>
      </left>
      <right style="medium">
        <color indexed="8"/>
      </right>
      <top/>
      <bottom style="thin"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>
        <color indexed="63"/>
      </top>
      <bottom/>
    </border>
    <border>
      <left/>
      <right style="medium"/>
      <top style="medium">
        <color indexed="63"/>
      </top>
      <bottom/>
    </border>
    <border>
      <left style="medium"/>
      <right/>
      <top/>
      <bottom style="medium">
        <color indexed="63"/>
      </bottom>
    </border>
    <border>
      <left style="medium"/>
      <right/>
      <top style="medium">
        <color indexed="63"/>
      </top>
      <bottom style="medium">
        <color indexed="63"/>
      </bottom>
    </border>
    <border>
      <left/>
      <right/>
      <top style="medium"/>
      <bottom/>
    </border>
    <border>
      <left/>
      <right/>
      <top style="medium">
        <color indexed="63"/>
      </top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>
        <color indexed="63"/>
      </right>
      <top/>
      <bottom/>
    </border>
    <border>
      <left style="medium">
        <color indexed="63"/>
      </left>
      <right style="medium"/>
      <top/>
      <bottom/>
    </border>
    <border>
      <left style="medium"/>
      <right style="medium">
        <color indexed="63"/>
      </right>
      <top/>
      <bottom style="medium"/>
    </border>
    <border>
      <left style="medium">
        <color indexed="63"/>
      </left>
      <right style="medium"/>
      <top/>
      <bottom style="medium"/>
    </border>
    <border>
      <left/>
      <right style="medium"/>
      <top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3"/>
      </bottom>
    </border>
    <border>
      <left/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63"/>
      </top>
      <bottom style="medium">
        <color indexed="8"/>
      </bottom>
    </border>
    <border>
      <left style="medium">
        <color indexed="8"/>
      </left>
      <right/>
      <top/>
      <bottom style="medium">
        <color indexed="63"/>
      </bottom>
    </border>
    <border>
      <left/>
      <right style="medium">
        <color indexed="8"/>
      </right>
      <top style="medium">
        <color indexed="8"/>
      </top>
      <bottom style="medium">
        <color indexed="63"/>
      </bottom>
    </border>
    <border>
      <left/>
      <right style="medium">
        <color indexed="8"/>
      </right>
      <top/>
      <bottom style="medium">
        <color indexed="63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/>
      <right style="thin"/>
      <top/>
      <bottom style="medium"/>
    </border>
    <border>
      <left style="medium"/>
      <right style="medium">
        <color indexed="8"/>
      </right>
      <top style="medium"/>
      <bottom/>
    </border>
    <border>
      <left/>
      <right style="medium">
        <color indexed="8"/>
      </right>
      <top style="medium"/>
      <bottom/>
    </border>
    <border>
      <left style="medium"/>
      <right/>
      <top style="medium"/>
      <bottom style="medium"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medium">
        <color indexed="63"/>
      </right>
      <top style="medium"/>
      <bottom/>
    </border>
    <border>
      <left style="medium">
        <color indexed="63"/>
      </left>
      <right style="medium"/>
      <top style="medium"/>
      <bottom/>
    </border>
    <border>
      <left/>
      <right style="thin"/>
      <top/>
      <bottom/>
    </border>
    <border>
      <left style="medium">
        <color indexed="63"/>
      </left>
      <right style="thin"/>
      <top/>
      <bottom/>
    </border>
    <border>
      <left style="medium"/>
      <right style="thin"/>
      <top style="medium">
        <color indexed="63"/>
      </top>
      <bottom style="medium">
        <color indexed="63"/>
      </bottom>
    </border>
    <border>
      <left style="medium"/>
      <right style="thin"/>
      <top style="medium">
        <color indexed="63"/>
      </top>
      <bottom/>
    </border>
    <border>
      <left style="medium"/>
      <right style="medium">
        <color indexed="63"/>
      </right>
      <top style="medium"/>
      <bottom style="medium">
        <color indexed="63"/>
      </bottom>
    </border>
    <border>
      <left style="medium">
        <color indexed="63"/>
      </left>
      <right style="medium"/>
      <top style="medium"/>
      <bottom style="medium">
        <color indexed="63"/>
      </bottom>
    </border>
    <border>
      <left style="medium"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/>
      <top style="medium">
        <color indexed="63"/>
      </top>
      <bottom style="medium">
        <color indexed="63"/>
      </bottom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medium"/>
      <right style="medium"/>
      <top/>
      <bottom style="medium">
        <color indexed="63"/>
      </bottom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 style="medium">
        <color indexed="63"/>
      </top>
      <bottom style="medium">
        <color indexed="63"/>
      </bottom>
    </border>
    <border>
      <left/>
      <right style="thin"/>
      <top>
        <color indexed="63"/>
      </top>
      <bottom style="medium">
        <color indexed="63"/>
      </bottom>
    </border>
    <border>
      <left style="thin">
        <color indexed="8"/>
      </left>
      <right style="medium">
        <color indexed="63"/>
      </right>
      <top style="medium">
        <color indexed="8"/>
      </top>
      <bottom>
        <color indexed="63"/>
      </bottom>
    </border>
    <border>
      <left style="medium">
        <color indexed="63"/>
      </left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thin">
        <color indexed="63"/>
      </top>
      <bottom/>
    </border>
    <border>
      <left style="thin"/>
      <right/>
      <top style="thin"/>
      <bottom style="medium">
        <color indexed="8"/>
      </bottom>
    </border>
    <border>
      <left/>
      <right/>
      <top style="thin"/>
      <bottom style="medium">
        <color indexed="8"/>
      </bottom>
    </border>
    <border>
      <left/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63"/>
      </right>
      <top/>
      <bottom style="thin"/>
    </border>
    <border>
      <left/>
      <right style="medium">
        <color indexed="63"/>
      </right>
      <top style="thin"/>
      <bottom style="medium">
        <color indexed="63"/>
      </bottom>
    </border>
    <border>
      <left style="medium"/>
      <right/>
      <top style="thin"/>
      <bottom style="medium">
        <color indexed="63"/>
      </bottom>
    </border>
    <border>
      <left/>
      <right style="thin"/>
      <top style="thin"/>
      <bottom style="medium">
        <color indexed="63"/>
      </bottom>
    </border>
    <border>
      <left style="thin"/>
      <right style="medium">
        <color indexed="8"/>
      </right>
      <top/>
      <bottom/>
    </border>
    <border>
      <left style="thin"/>
      <right style="medium">
        <color indexed="8"/>
      </right>
      <top style="medium">
        <color indexed="8"/>
      </top>
      <bottom/>
    </border>
    <border>
      <left/>
      <right style="thin"/>
      <top style="medium">
        <color indexed="63"/>
      </top>
      <bottom/>
    </border>
    <border>
      <left style="medium"/>
      <right style="medium"/>
      <top style="medium"/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/>
      <top style="medium">
        <color indexed="63"/>
      </top>
      <bottom>
        <color indexed="63"/>
      </bottom>
    </border>
    <border>
      <left style="medium">
        <color indexed="63"/>
      </left>
      <right style="medium"/>
      <top>
        <color indexed="63"/>
      </top>
      <bottom style="medium">
        <color indexed="63"/>
      </bottom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6" fillId="2" borderId="0" applyNumberFormat="0" applyBorder="0" applyAlignment="0" applyProtection="0"/>
    <xf numFmtId="0" fontId="156" fillId="3" borderId="0" applyNumberFormat="0" applyBorder="0" applyAlignment="0" applyProtection="0"/>
    <xf numFmtId="0" fontId="156" fillId="4" borderId="0" applyNumberFormat="0" applyBorder="0" applyAlignment="0" applyProtection="0"/>
    <xf numFmtId="0" fontId="156" fillId="5" borderId="0" applyNumberFormat="0" applyBorder="0" applyAlignment="0" applyProtection="0"/>
    <xf numFmtId="0" fontId="156" fillId="6" borderId="0" applyNumberFormat="0" applyBorder="0" applyAlignment="0" applyProtection="0"/>
    <xf numFmtId="0" fontId="156" fillId="7" borderId="0" applyNumberFormat="0" applyBorder="0" applyAlignment="0" applyProtection="0"/>
    <xf numFmtId="0" fontId="156" fillId="8" borderId="0" applyNumberFormat="0" applyBorder="0" applyAlignment="0" applyProtection="0"/>
    <xf numFmtId="0" fontId="156" fillId="9" borderId="0" applyNumberFormat="0" applyBorder="0" applyAlignment="0" applyProtection="0"/>
    <xf numFmtId="0" fontId="156" fillId="10" borderId="0" applyNumberFormat="0" applyBorder="0" applyAlignment="0" applyProtection="0"/>
    <xf numFmtId="0" fontId="156" fillId="11" borderId="0" applyNumberFormat="0" applyBorder="0" applyAlignment="0" applyProtection="0"/>
    <xf numFmtId="0" fontId="156" fillId="12" borderId="0" applyNumberFormat="0" applyBorder="0" applyAlignment="0" applyProtection="0"/>
    <xf numFmtId="0" fontId="156" fillId="13" borderId="0" applyNumberFormat="0" applyBorder="0" applyAlignment="0" applyProtection="0"/>
    <xf numFmtId="0" fontId="157" fillId="14" borderId="0" applyNumberFormat="0" applyBorder="0" applyAlignment="0" applyProtection="0"/>
    <xf numFmtId="0" fontId="157" fillId="15" borderId="0" applyNumberFormat="0" applyBorder="0" applyAlignment="0" applyProtection="0"/>
    <xf numFmtId="0" fontId="157" fillId="16" borderId="0" applyNumberFormat="0" applyBorder="0" applyAlignment="0" applyProtection="0"/>
    <xf numFmtId="0" fontId="157" fillId="17" borderId="0" applyNumberFormat="0" applyBorder="0" applyAlignment="0" applyProtection="0"/>
    <xf numFmtId="0" fontId="157" fillId="18" borderId="0" applyNumberFormat="0" applyBorder="0" applyAlignment="0" applyProtection="0"/>
    <xf numFmtId="0" fontId="157" fillId="19" borderId="0" applyNumberFormat="0" applyBorder="0" applyAlignment="0" applyProtection="0"/>
    <xf numFmtId="0" fontId="157" fillId="20" borderId="0" applyNumberFormat="0" applyBorder="0" applyAlignment="0" applyProtection="0"/>
    <xf numFmtId="0" fontId="157" fillId="21" borderId="0" applyNumberFormat="0" applyBorder="0" applyAlignment="0" applyProtection="0"/>
    <xf numFmtId="0" fontId="157" fillId="22" borderId="0" applyNumberFormat="0" applyBorder="0" applyAlignment="0" applyProtection="0"/>
    <xf numFmtId="0" fontId="157" fillId="23" borderId="0" applyNumberFormat="0" applyBorder="0" applyAlignment="0" applyProtection="0"/>
    <xf numFmtId="0" fontId="157" fillId="24" borderId="0" applyNumberFormat="0" applyBorder="0" applyAlignment="0" applyProtection="0"/>
    <xf numFmtId="0" fontId="157" fillId="25" borderId="0" applyNumberFormat="0" applyBorder="0" applyAlignment="0" applyProtection="0"/>
    <xf numFmtId="0" fontId="158" fillId="26" borderId="1" applyNumberFormat="0" applyAlignment="0" applyProtection="0"/>
    <xf numFmtId="0" fontId="159" fillId="27" borderId="2" applyNumberFormat="0" applyAlignment="0" applyProtection="0"/>
    <xf numFmtId="0" fontId="160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1" fillId="0" borderId="3" applyNumberFormat="0" applyFill="0" applyAlignment="0" applyProtection="0"/>
    <xf numFmtId="0" fontId="162" fillId="0" borderId="4" applyNumberFormat="0" applyFill="0" applyAlignment="0" applyProtection="0"/>
    <xf numFmtId="0" fontId="163" fillId="0" borderId="5" applyNumberFormat="0" applyFill="0" applyAlignment="0" applyProtection="0"/>
    <xf numFmtId="0" fontId="163" fillId="0" borderId="0" applyNumberFormat="0" applyFill="0" applyBorder="0" applyAlignment="0" applyProtection="0"/>
    <xf numFmtId="0" fontId="164" fillId="0" borderId="6" applyNumberFormat="0" applyFill="0" applyAlignment="0" applyProtection="0"/>
    <xf numFmtId="0" fontId="165" fillId="28" borderId="7" applyNumberFormat="0" applyAlignment="0" applyProtection="0"/>
    <xf numFmtId="0" fontId="166" fillId="0" borderId="0" applyNumberFormat="0" applyFill="0" applyBorder="0" applyAlignment="0" applyProtection="0"/>
    <xf numFmtId="0" fontId="167" fillId="29" borderId="0" applyNumberFormat="0" applyBorder="0" applyAlignment="0" applyProtection="0"/>
    <xf numFmtId="0" fontId="168" fillId="0" borderId="0" applyNumberFormat="0" applyFill="0" applyBorder="0" applyAlignment="0" applyProtection="0"/>
    <xf numFmtId="0" fontId="169" fillId="30" borderId="0" applyNumberFormat="0" applyBorder="0" applyAlignment="0" applyProtection="0"/>
    <xf numFmtId="0" fontId="1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1" fillId="0" borderId="9" applyNumberFormat="0" applyFill="0" applyAlignment="0" applyProtection="0"/>
    <xf numFmtId="0" fontId="1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3" fillId="32" borderId="0" applyNumberFormat="0" applyBorder="0" applyAlignment="0" applyProtection="0"/>
  </cellStyleXfs>
  <cellXfs count="11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6" fontId="2" fillId="33" borderId="12" xfId="0" applyNumberFormat="1" applyFont="1" applyFill="1" applyBorder="1" applyAlignment="1">
      <alignment horizontal="center" vertical="center" wrapText="1"/>
    </xf>
    <xf numFmtId="16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vertical="center" wrapText="1"/>
    </xf>
    <xf numFmtId="49" fontId="3" fillId="35" borderId="14" xfId="0" applyNumberFormat="1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15" fillId="0" borderId="14" xfId="42" applyNumberFormat="1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vertical="center" wrapText="1"/>
    </xf>
    <xf numFmtId="49" fontId="3" fillId="37" borderId="14" xfId="0" applyNumberFormat="1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11" fillId="37" borderId="15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42" applyNumberFormat="1" applyFont="1" applyFill="1" applyBorder="1" applyAlignment="1" applyProtection="1">
      <alignment vertical="center" wrapText="1"/>
      <protection/>
    </xf>
    <xf numFmtId="0" fontId="3" fillId="33" borderId="18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25" fillId="36" borderId="14" xfId="0" applyFont="1" applyFill="1" applyBorder="1" applyAlignment="1">
      <alignment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vertical="center" wrapText="1"/>
    </xf>
    <xf numFmtId="0" fontId="4" fillId="35" borderId="12" xfId="0" applyNumberFormat="1" applyFont="1" applyFill="1" applyBorder="1" applyAlignment="1">
      <alignment horizontal="center" vertical="center" wrapText="1"/>
    </xf>
    <xf numFmtId="0" fontId="15" fillId="35" borderId="15" xfId="42" applyNumberFormat="1" applyFont="1" applyFill="1" applyBorder="1" applyAlignment="1" applyProtection="1">
      <alignment vertical="center" wrapText="1"/>
      <protection/>
    </xf>
    <xf numFmtId="49" fontId="3" fillId="35" borderId="15" xfId="0" applyNumberFormat="1" applyFont="1" applyFill="1" applyBorder="1" applyAlignment="1">
      <alignment horizontal="center" vertical="center" wrapText="1"/>
    </xf>
    <xf numFmtId="0" fontId="4" fillId="35" borderId="15" xfId="0" applyNumberFormat="1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49" fontId="26" fillId="35" borderId="15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4" fillId="36" borderId="13" xfId="0" applyNumberFormat="1" applyFont="1" applyFill="1" applyBorder="1" applyAlignment="1">
      <alignment horizontal="center" vertical="center" wrapText="1"/>
    </xf>
    <xf numFmtId="0" fontId="25" fillId="36" borderId="14" xfId="0" applyNumberFormat="1" applyFont="1" applyFill="1" applyBorder="1" applyAlignment="1">
      <alignment vertical="center" wrapText="1"/>
    </xf>
    <xf numFmtId="0" fontId="3" fillId="36" borderId="15" xfId="0" applyNumberFormat="1" applyFont="1" applyFill="1" applyBorder="1" applyAlignment="1">
      <alignment horizontal="center" vertical="center" wrapText="1"/>
    </xf>
    <xf numFmtId="0" fontId="4" fillId="36" borderId="15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vertical="center" wrapText="1"/>
    </xf>
    <xf numFmtId="0" fontId="2" fillId="33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 vertical="center" wrapText="1"/>
    </xf>
    <xf numFmtId="0" fontId="15" fillId="34" borderId="15" xfId="42" applyNumberFormat="1" applyFont="1" applyFill="1" applyBorder="1" applyAlignment="1" applyProtection="1">
      <alignment vertical="center" wrapText="1"/>
      <protection/>
    </xf>
    <xf numFmtId="49" fontId="3" fillId="34" borderId="15" xfId="0" applyNumberFormat="1" applyFont="1" applyFill="1" applyBorder="1" applyAlignment="1">
      <alignment horizontal="center" vertical="center" wrapText="1"/>
    </xf>
    <xf numFmtId="0" fontId="4" fillId="34" borderId="15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49" fontId="27" fillId="34" borderId="15" xfId="0" applyNumberFormat="1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34" borderId="15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49" fontId="27" fillId="35" borderId="15" xfId="0" applyNumberFormat="1" applyFont="1" applyFill="1" applyBorder="1" applyAlignment="1">
      <alignment horizontal="center" vertical="center" wrapText="1"/>
    </xf>
    <xf numFmtId="0" fontId="9" fillId="35" borderId="15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29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7" borderId="12" xfId="0" applyNumberFormat="1" applyFont="1" applyFill="1" applyBorder="1" applyAlignment="1">
      <alignment horizontal="center" vertical="center" wrapText="1"/>
    </xf>
    <xf numFmtId="0" fontId="4" fillId="37" borderId="15" xfId="0" applyNumberFormat="1" applyFont="1" applyFill="1" applyBorder="1" applyAlignment="1">
      <alignment vertical="center" wrapText="1"/>
    </xf>
    <xf numFmtId="0" fontId="4" fillId="37" borderId="15" xfId="0" applyNumberFormat="1" applyFont="1" applyFill="1" applyBorder="1" applyAlignment="1">
      <alignment horizontal="center" vertical="center" wrapText="1"/>
    </xf>
    <xf numFmtId="0" fontId="28" fillId="35" borderId="12" xfId="0" applyNumberFormat="1" applyFont="1" applyFill="1" applyBorder="1" applyAlignment="1">
      <alignment vertical="center"/>
    </xf>
    <xf numFmtId="0" fontId="3" fillId="37" borderId="15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7" borderId="14" xfId="0" applyNumberFormat="1" applyFont="1" applyFill="1" applyBorder="1" applyAlignment="1">
      <alignment vertical="center" wrapText="1"/>
    </xf>
    <xf numFmtId="0" fontId="11" fillId="37" borderId="15" xfId="0" applyFont="1" applyFill="1" applyBorder="1" applyAlignment="1">
      <alignment vertical="center" wrapText="1"/>
    </xf>
    <xf numFmtId="49" fontId="4" fillId="37" borderId="15" xfId="0" applyNumberFormat="1" applyFont="1" applyFill="1" applyBorder="1" applyAlignment="1">
      <alignment horizontal="center" vertical="center" wrapText="1"/>
    </xf>
    <xf numFmtId="0" fontId="28" fillId="37" borderId="12" xfId="0" applyNumberFormat="1" applyFont="1" applyFill="1" applyBorder="1" applyAlignment="1">
      <alignment vertical="center"/>
    </xf>
    <xf numFmtId="0" fontId="15" fillId="37" borderId="15" xfId="42" applyNumberFormat="1" applyFont="1" applyFill="1" applyBorder="1" applyAlignment="1" applyProtection="1">
      <alignment vertical="center" wrapText="1"/>
      <protection/>
    </xf>
    <xf numFmtId="49" fontId="3" fillId="37" borderId="15" xfId="0" applyNumberFormat="1" applyFont="1" applyFill="1" applyBorder="1" applyAlignment="1">
      <alignment horizontal="center" vertical="center" wrapText="1"/>
    </xf>
    <xf numFmtId="49" fontId="27" fillId="37" borderId="15" xfId="0" applyNumberFormat="1" applyFont="1" applyFill="1" applyBorder="1" applyAlignment="1">
      <alignment horizontal="center" vertical="center" wrapText="1"/>
    </xf>
    <xf numFmtId="0" fontId="28" fillId="38" borderId="12" xfId="0" applyNumberFormat="1" applyFont="1" applyFill="1" applyBorder="1" applyAlignment="1">
      <alignment vertical="center"/>
    </xf>
    <xf numFmtId="0" fontId="15" fillId="38" borderId="15" xfId="42" applyNumberFormat="1" applyFont="1" applyFill="1" applyBorder="1" applyAlignment="1" applyProtection="1">
      <alignment vertical="center" wrapText="1"/>
      <protection/>
    </xf>
    <xf numFmtId="49" fontId="3" fillId="38" borderId="15" xfId="0" applyNumberFormat="1" applyFont="1" applyFill="1" applyBorder="1" applyAlignment="1">
      <alignment horizontal="center" vertical="center" wrapText="1"/>
    </xf>
    <xf numFmtId="0" fontId="4" fillId="38" borderId="15" xfId="0" applyNumberFormat="1" applyFont="1" applyFill="1" applyBorder="1" applyAlignment="1">
      <alignment horizontal="center" vertical="center" wrapText="1"/>
    </xf>
    <xf numFmtId="0" fontId="11" fillId="38" borderId="15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horizontal="center" vertical="center"/>
    </xf>
    <xf numFmtId="49" fontId="27" fillId="38" borderId="15" xfId="0" applyNumberFormat="1" applyFont="1" applyFill="1" applyBorder="1" applyAlignment="1">
      <alignment horizontal="center" vertical="center" wrapText="1"/>
    </xf>
    <xf numFmtId="0" fontId="15" fillId="0" borderId="18" xfId="42" applyNumberFormat="1" applyFont="1" applyFill="1" applyBorder="1" applyAlignment="1" applyProtection="1">
      <alignment vertical="center" wrapText="1"/>
      <protection/>
    </xf>
    <xf numFmtId="49" fontId="4" fillId="0" borderId="18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33" borderId="12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6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6" xfId="0" applyBorder="1" applyAlignment="1">
      <alignment/>
    </xf>
    <xf numFmtId="0" fontId="0" fillId="33" borderId="0" xfId="0" applyFill="1" applyAlignment="1">
      <alignment/>
    </xf>
    <xf numFmtId="0" fontId="36" fillId="33" borderId="0" xfId="0" applyFont="1" applyFill="1" applyAlignment="1">
      <alignment horizontal="left"/>
    </xf>
    <xf numFmtId="0" fontId="41" fillId="33" borderId="0" xfId="0" applyFont="1" applyFill="1" applyAlignment="1">
      <alignment/>
    </xf>
    <xf numFmtId="0" fontId="42" fillId="39" borderId="10" xfId="0" applyFont="1" applyFill="1" applyBorder="1" applyAlignment="1">
      <alignment vertical="center"/>
    </xf>
    <xf numFmtId="0" fontId="43" fillId="39" borderId="22" xfId="0" applyFont="1" applyFill="1" applyBorder="1" applyAlignment="1">
      <alignment horizontal="right" vertical="center"/>
    </xf>
    <xf numFmtId="0" fontId="44" fillId="40" borderId="0" xfId="0" applyFont="1" applyFill="1" applyBorder="1" applyAlignment="1">
      <alignment horizontal="center" vertical="center" wrapText="1"/>
    </xf>
    <xf numFmtId="0" fontId="43" fillId="39" borderId="22" xfId="0" applyFont="1" applyFill="1" applyBorder="1" applyAlignment="1">
      <alignment horizontal="left" vertical="center"/>
    </xf>
    <xf numFmtId="0" fontId="36" fillId="38" borderId="22" xfId="0" applyFont="1" applyFill="1" applyBorder="1" applyAlignment="1">
      <alignment horizontal="right" vertical="center"/>
    </xf>
    <xf numFmtId="0" fontId="36" fillId="38" borderId="22" xfId="0" applyFont="1" applyFill="1" applyBorder="1" applyAlignment="1">
      <alignment vertical="center"/>
    </xf>
    <xf numFmtId="0" fontId="36" fillId="38" borderId="15" xfId="0" applyFont="1" applyFill="1" applyBorder="1" applyAlignment="1">
      <alignment vertical="center"/>
    </xf>
    <xf numFmtId="0" fontId="45" fillId="38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8" borderId="0" xfId="0" applyFill="1" applyAlignment="1">
      <alignment horizontal="left"/>
    </xf>
    <xf numFmtId="0" fontId="0" fillId="34" borderId="26" xfId="0" applyFill="1" applyBorder="1" applyAlignment="1">
      <alignment horizontal="center" vertical="center"/>
    </xf>
    <xf numFmtId="0" fontId="0" fillId="38" borderId="27" xfId="0" applyFill="1" applyBorder="1" applyAlignment="1">
      <alignment/>
    </xf>
    <xf numFmtId="0" fontId="0" fillId="38" borderId="0" xfId="0" applyFill="1" applyBorder="1" applyAlignment="1">
      <alignment/>
    </xf>
    <xf numFmtId="0" fontId="50" fillId="41" borderId="28" xfId="0" applyFont="1" applyFill="1" applyBorder="1" applyAlignment="1">
      <alignment horizontal="right" vertical="center"/>
    </xf>
    <xf numFmtId="0" fontId="0" fillId="34" borderId="29" xfId="0" applyFill="1" applyBorder="1" applyAlignment="1">
      <alignment horizontal="center" vertical="center"/>
    </xf>
    <xf numFmtId="0" fontId="50" fillId="41" borderId="18" xfId="0" applyFont="1" applyFill="1" applyBorder="1" applyAlignment="1">
      <alignment horizontal="right" vertical="center"/>
    </xf>
    <xf numFmtId="0" fontId="50" fillId="41" borderId="30" xfId="0" applyFont="1" applyFill="1" applyBorder="1" applyAlignment="1">
      <alignment horizontal="right" vertical="center"/>
    </xf>
    <xf numFmtId="0" fontId="0" fillId="37" borderId="16" xfId="0" applyFill="1" applyBorder="1" applyAlignment="1">
      <alignment/>
    </xf>
    <xf numFmtId="0" fontId="0" fillId="0" borderId="29" xfId="0" applyFill="1" applyBorder="1" applyAlignment="1">
      <alignment horizontal="center" vertical="center"/>
    </xf>
    <xf numFmtId="0" fontId="57" fillId="37" borderId="29" xfId="0" applyFont="1" applyFill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39" fillId="38" borderId="13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/>
    </xf>
    <xf numFmtId="0" fontId="50" fillId="41" borderId="32" xfId="0" applyFont="1" applyFill="1" applyBorder="1" applyAlignment="1">
      <alignment horizontal="right" vertical="center"/>
    </xf>
    <xf numFmtId="0" fontId="0" fillId="34" borderId="33" xfId="0" applyFill="1" applyBorder="1" applyAlignment="1">
      <alignment horizontal="center" vertical="center"/>
    </xf>
    <xf numFmtId="0" fontId="50" fillId="41" borderId="34" xfId="0" applyFont="1" applyFill="1" applyBorder="1" applyAlignment="1">
      <alignment horizontal="right"/>
    </xf>
    <xf numFmtId="0" fontId="39" fillId="42" borderId="17" xfId="0" applyFont="1" applyFill="1" applyBorder="1" applyAlignment="1">
      <alignment horizontal="center" vertical="center"/>
    </xf>
    <xf numFmtId="0" fontId="38" fillId="34" borderId="13" xfId="0" applyFont="1" applyFill="1" applyBorder="1" applyAlignment="1">
      <alignment horizontal="center" vertical="center" wrapText="1"/>
    </xf>
    <xf numFmtId="0" fontId="39" fillId="42" borderId="18" xfId="0" applyFont="1" applyFill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9" fillId="42" borderId="14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33" borderId="0" xfId="0" applyFill="1" applyAlignment="1">
      <alignment vertical="center"/>
    </xf>
    <xf numFmtId="0" fontId="66" fillId="0" borderId="0" xfId="0" applyFont="1" applyAlignment="1">
      <alignment vertical="center"/>
    </xf>
    <xf numFmtId="0" fontId="67" fillId="33" borderId="0" xfId="0" applyFont="1" applyFill="1" applyAlignment="1">
      <alignment vertical="center"/>
    </xf>
    <xf numFmtId="0" fontId="38" fillId="0" borderId="0" xfId="0" applyFont="1" applyAlignment="1">
      <alignment horizontal="center" vertical="center"/>
    </xf>
    <xf numFmtId="0" fontId="45" fillId="33" borderId="0" xfId="0" applyFont="1" applyFill="1" applyAlignment="1">
      <alignment horizontal="left"/>
    </xf>
    <xf numFmtId="0" fontId="46" fillId="37" borderId="35" xfId="0" applyFont="1" applyFill="1" applyBorder="1" applyAlignment="1">
      <alignment horizontal="center"/>
    </xf>
    <xf numFmtId="0" fontId="46" fillId="37" borderId="14" xfId="0" applyFont="1" applyFill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46" fillId="37" borderId="16" xfId="0" applyFont="1" applyFill="1" applyBorder="1" applyAlignment="1">
      <alignment/>
    </xf>
    <xf numFmtId="0" fontId="50" fillId="41" borderId="36" xfId="0" applyFont="1" applyFill="1" applyBorder="1" applyAlignment="1">
      <alignment horizontal="right"/>
    </xf>
    <xf numFmtId="0" fontId="49" fillId="34" borderId="33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0" fillId="0" borderId="28" xfId="0" applyBorder="1" applyAlignment="1">
      <alignment horizontal="center" vertical="center"/>
    </xf>
    <xf numFmtId="0" fontId="0" fillId="38" borderId="37" xfId="0" applyFill="1" applyBorder="1" applyAlignment="1">
      <alignment/>
    </xf>
    <xf numFmtId="0" fontId="57" fillId="37" borderId="16" xfId="0" applyFont="1" applyFill="1" applyBorder="1" applyAlignment="1">
      <alignment horizontal="center" vertical="top"/>
    </xf>
    <xf numFmtId="0" fontId="57" fillId="37" borderId="38" xfId="0" applyFont="1" applyFill="1" applyBorder="1" applyAlignment="1">
      <alignment horizontal="center" vertical="center"/>
    </xf>
    <xf numFmtId="0" fontId="50" fillId="41" borderId="39" xfId="0" applyFont="1" applyFill="1" applyBorder="1" applyAlignment="1">
      <alignment horizontal="right" vertical="center"/>
    </xf>
    <xf numFmtId="0" fontId="44" fillId="37" borderId="0" xfId="0" applyFont="1" applyFill="1" applyBorder="1" applyAlignment="1">
      <alignment/>
    </xf>
    <xf numFmtId="0" fontId="50" fillId="41" borderId="40" xfId="0" applyFont="1" applyFill="1" applyBorder="1" applyAlignment="1">
      <alignment horizontal="right" vertical="center"/>
    </xf>
    <xf numFmtId="49" fontId="70" fillId="37" borderId="0" xfId="0" applyNumberFormat="1" applyFont="1" applyFill="1" applyBorder="1" applyAlignment="1">
      <alignment horizontal="center" wrapText="1"/>
    </xf>
    <xf numFmtId="0" fontId="71" fillId="37" borderId="0" xfId="0" applyFont="1" applyFill="1" applyBorder="1" applyAlignment="1">
      <alignment horizontal="center" vertical="center" wrapText="1"/>
    </xf>
    <xf numFmtId="0" fontId="72" fillId="37" borderId="0" xfId="0" applyFont="1" applyFill="1" applyAlignment="1">
      <alignment horizontal="left" vertical="center"/>
    </xf>
    <xf numFmtId="0" fontId="73" fillId="37" borderId="0" xfId="0" applyFont="1" applyFill="1" applyAlignment="1">
      <alignment/>
    </xf>
    <xf numFmtId="0" fontId="58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49" fillId="34" borderId="4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8" borderId="42" xfId="0" applyFill="1" applyBorder="1" applyAlignment="1">
      <alignment/>
    </xf>
    <xf numFmtId="0" fontId="0" fillId="38" borderId="43" xfId="0" applyFill="1" applyBorder="1" applyAlignment="1">
      <alignment/>
    </xf>
    <xf numFmtId="0" fontId="0" fillId="38" borderId="44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23" xfId="0" applyFont="1" applyFill="1" applyBorder="1" applyAlignment="1">
      <alignment/>
    </xf>
    <xf numFmtId="0" fontId="36" fillId="33" borderId="0" xfId="0" applyFont="1" applyFill="1" applyAlignment="1">
      <alignment horizontal="right"/>
    </xf>
    <xf numFmtId="0" fontId="39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46" fillId="37" borderId="45" xfId="0" applyFont="1" applyFill="1" applyBorder="1" applyAlignment="1">
      <alignment horizontal="center"/>
    </xf>
    <xf numFmtId="0" fontId="44" fillId="43" borderId="17" xfId="0" applyFont="1" applyFill="1" applyBorder="1" applyAlignment="1">
      <alignment horizontal="center" vertical="center" wrapText="1"/>
    </xf>
    <xf numFmtId="0" fontId="50" fillId="41" borderId="46" xfId="0" applyFont="1" applyFill="1" applyBorder="1" applyAlignment="1">
      <alignment horizontal="right"/>
    </xf>
    <xf numFmtId="0" fontId="49" fillId="34" borderId="47" xfId="0" applyFont="1" applyFill="1" applyBorder="1" applyAlignment="1">
      <alignment horizontal="center" vertical="center"/>
    </xf>
    <xf numFmtId="0" fontId="49" fillId="34" borderId="48" xfId="0" applyFont="1" applyFill="1" applyBorder="1" applyAlignment="1">
      <alignment horizontal="center" vertical="center"/>
    </xf>
    <xf numFmtId="0" fontId="50" fillId="41" borderId="49" xfId="0" applyFont="1" applyFill="1" applyBorder="1" applyAlignment="1">
      <alignment horizontal="right" vertical="center"/>
    </xf>
    <xf numFmtId="0" fontId="49" fillId="34" borderId="50" xfId="0" applyFont="1" applyFill="1" applyBorder="1" applyAlignment="1">
      <alignment horizontal="center" vertical="center"/>
    </xf>
    <xf numFmtId="0" fontId="0" fillId="37" borderId="0" xfId="0" applyFill="1" applyAlignment="1">
      <alignment vertical="center"/>
    </xf>
    <xf numFmtId="0" fontId="46" fillId="37" borderId="51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 wrapText="1"/>
    </xf>
    <xf numFmtId="0" fontId="50" fillId="41" borderId="52" xfId="0" applyFont="1" applyFill="1" applyBorder="1" applyAlignment="1">
      <alignment horizontal="right" vertical="center"/>
    </xf>
    <xf numFmtId="172" fontId="0" fillId="0" borderId="16" xfId="0" applyNumberFormat="1" applyBorder="1" applyAlignment="1">
      <alignment vertical="center"/>
    </xf>
    <xf numFmtId="0" fontId="0" fillId="0" borderId="0" xfId="0" applyFill="1" applyAlignment="1">
      <alignment/>
    </xf>
    <xf numFmtId="0" fontId="38" fillId="0" borderId="0" xfId="0" applyFont="1" applyFill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37" xfId="0" applyBorder="1" applyAlignment="1">
      <alignment/>
    </xf>
    <xf numFmtId="0" fontId="0" fillId="34" borderId="0" xfId="0" applyFill="1" applyAlignment="1">
      <alignment/>
    </xf>
    <xf numFmtId="0" fontId="49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11" xfId="0" applyFont="1" applyBorder="1" applyAlignment="1">
      <alignment/>
    </xf>
    <xf numFmtId="0" fontId="52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17" xfId="0" applyBorder="1" applyAlignment="1">
      <alignment/>
    </xf>
    <xf numFmtId="0" fontId="76" fillId="0" borderId="55" xfId="0" applyFont="1" applyFill="1" applyBorder="1" applyAlignment="1">
      <alignment/>
    </xf>
    <xf numFmtId="0" fontId="78" fillId="0" borderId="31" xfId="0" applyFont="1" applyBorder="1" applyAlignment="1">
      <alignment/>
    </xf>
    <xf numFmtId="0" fontId="79" fillId="0" borderId="31" xfId="0" applyFont="1" applyBorder="1" applyAlignment="1">
      <alignment/>
    </xf>
    <xf numFmtId="0" fontId="80" fillId="33" borderId="33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76" fillId="0" borderId="56" xfId="0" applyFont="1" applyFill="1" applyBorder="1" applyAlignment="1">
      <alignment/>
    </xf>
    <xf numFmtId="0" fontId="78" fillId="0" borderId="57" xfId="0" applyFont="1" applyBorder="1" applyAlignment="1">
      <alignment/>
    </xf>
    <xf numFmtId="0" fontId="79" fillId="0" borderId="57" xfId="0" applyFont="1" applyBorder="1" applyAlignment="1">
      <alignment/>
    </xf>
    <xf numFmtId="0" fontId="38" fillId="0" borderId="16" xfId="0" applyFont="1" applyBorder="1" applyAlignment="1">
      <alignment horizontal="center" vertical="center"/>
    </xf>
    <xf numFmtId="0" fontId="82" fillId="33" borderId="31" xfId="0" applyFont="1" applyFill="1" applyBorder="1" applyAlignment="1">
      <alignment vertical="center" wrapText="1"/>
    </xf>
    <xf numFmtId="0" fontId="80" fillId="33" borderId="31" xfId="0" applyFont="1" applyFill="1" applyBorder="1" applyAlignment="1">
      <alignment vertical="center" wrapText="1"/>
    </xf>
    <xf numFmtId="0" fontId="82" fillId="33" borderId="33" xfId="0" applyFont="1" applyFill="1" applyBorder="1" applyAlignment="1">
      <alignment vertical="center" wrapText="1"/>
    </xf>
    <xf numFmtId="0" fontId="36" fillId="0" borderId="11" xfId="0" applyFont="1" applyBorder="1" applyAlignment="1">
      <alignment/>
    </xf>
    <xf numFmtId="0" fontId="36" fillId="0" borderId="13" xfId="0" applyFont="1" applyBorder="1" applyAlignment="1">
      <alignment/>
    </xf>
    <xf numFmtId="0" fontId="83" fillId="33" borderId="31" xfId="0" applyFont="1" applyFill="1" applyBorder="1" applyAlignment="1">
      <alignment vertical="center" wrapText="1"/>
    </xf>
    <xf numFmtId="0" fontId="2" fillId="33" borderId="31" xfId="0" applyFont="1" applyFill="1" applyBorder="1" applyAlignment="1">
      <alignment vertical="center" wrapText="1"/>
    </xf>
    <xf numFmtId="0" fontId="38" fillId="0" borderId="16" xfId="0" applyFont="1" applyBorder="1" applyAlignment="1">
      <alignment horizontal="center"/>
    </xf>
    <xf numFmtId="0" fontId="82" fillId="33" borderId="57" xfId="0" applyFont="1" applyFill="1" applyBorder="1" applyAlignment="1">
      <alignment vertical="center" wrapText="1"/>
    </xf>
    <xf numFmtId="0" fontId="80" fillId="33" borderId="5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3" fillId="33" borderId="33" xfId="0" applyFont="1" applyFill="1" applyBorder="1" applyAlignment="1">
      <alignment vertical="center" wrapText="1"/>
    </xf>
    <xf numFmtId="0" fontId="2" fillId="33" borderId="33" xfId="0" applyFont="1" applyFill="1" applyBorder="1" applyAlignment="1">
      <alignment vertical="center" wrapText="1"/>
    </xf>
    <xf numFmtId="0" fontId="53" fillId="0" borderId="0" xfId="0" applyFont="1" applyBorder="1" applyAlignment="1">
      <alignment/>
    </xf>
    <xf numFmtId="0" fontId="84" fillId="33" borderId="33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2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3" fillId="33" borderId="57" xfId="0" applyFont="1" applyFill="1" applyBorder="1" applyAlignment="1">
      <alignment vertical="center" wrapText="1"/>
    </xf>
    <xf numFmtId="0" fontId="2" fillId="33" borderId="57" xfId="0" applyFont="1" applyFill="1" applyBorder="1" applyAlignment="1">
      <alignment vertical="center" wrapText="1"/>
    </xf>
    <xf numFmtId="0" fontId="38" fillId="0" borderId="56" xfId="0" applyFont="1" applyBorder="1" applyAlignment="1">
      <alignment horizontal="center" vertical="center"/>
    </xf>
    <xf numFmtId="0" fontId="84" fillId="33" borderId="57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/>
    </xf>
    <xf numFmtId="0" fontId="0" fillId="34" borderId="58" xfId="0" applyFill="1" applyBorder="1" applyAlignment="1">
      <alignment/>
    </xf>
    <xf numFmtId="0" fontId="0" fillId="0" borderId="15" xfId="0" applyFill="1" applyBorder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78" fillId="0" borderId="0" xfId="0" applyFont="1" applyAlignment="1">
      <alignment/>
    </xf>
    <xf numFmtId="0" fontId="85" fillId="0" borderId="0" xfId="0" applyFont="1" applyAlignment="1">
      <alignment/>
    </xf>
    <xf numFmtId="0" fontId="78" fillId="33" borderId="59" xfId="0" applyFont="1" applyFill="1" applyBorder="1" applyAlignment="1">
      <alignment horizontal="center" vertical="center" wrapText="1"/>
    </xf>
    <xf numFmtId="0" fontId="36" fillId="0" borderId="53" xfId="0" applyFont="1" applyBorder="1" applyAlignment="1">
      <alignment/>
    </xf>
    <xf numFmtId="0" fontId="80" fillId="33" borderId="60" xfId="0" applyFont="1" applyFill="1" applyBorder="1" applyAlignment="1">
      <alignment vertical="center" wrapText="1"/>
    </xf>
    <xf numFmtId="0" fontId="38" fillId="0" borderId="55" xfId="0" applyFont="1" applyBorder="1" applyAlignment="1">
      <alignment horizontal="center" vertical="center"/>
    </xf>
    <xf numFmtId="0" fontId="80" fillId="33" borderId="61" xfId="0" applyFont="1" applyFill="1" applyBorder="1" applyAlignment="1">
      <alignment vertical="center" wrapText="1"/>
    </xf>
    <xf numFmtId="0" fontId="78" fillId="33" borderId="13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vertical="center" wrapText="1"/>
    </xf>
    <xf numFmtId="0" fontId="80" fillId="33" borderId="13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82" fillId="33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2" fillId="33" borderId="56" xfId="0" applyFont="1" applyFill="1" applyBorder="1" applyAlignment="1">
      <alignment vertical="center" wrapText="1"/>
    </xf>
    <xf numFmtId="0" fontId="80" fillId="33" borderId="12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81" fillId="0" borderId="0" xfId="0" applyFont="1" applyAlignment="1">
      <alignment wrapText="1"/>
    </xf>
    <xf numFmtId="0" fontId="3" fillId="0" borderId="12" xfId="0" applyFont="1" applyBorder="1" applyAlignment="1">
      <alignment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7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ont="1" applyAlignment="1">
      <alignment/>
    </xf>
    <xf numFmtId="173" fontId="0" fillId="0" borderId="0" xfId="0" applyNumberFormat="1" applyFill="1" applyAlignment="1">
      <alignment/>
    </xf>
    <xf numFmtId="0" fontId="0" fillId="38" borderId="0" xfId="0" applyFill="1" applyAlignment="1">
      <alignment vertical="center"/>
    </xf>
    <xf numFmtId="0" fontId="0" fillId="0" borderId="15" xfId="0" applyBorder="1" applyAlignment="1">
      <alignment vertical="center"/>
    </xf>
    <xf numFmtId="0" fontId="36" fillId="0" borderId="53" xfId="0" applyFont="1" applyBorder="1" applyAlignment="1">
      <alignment horizontal="right" vertical="center"/>
    </xf>
    <xf numFmtId="0" fontId="0" fillId="0" borderId="54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center"/>
    </xf>
    <xf numFmtId="0" fontId="38" fillId="0" borderId="17" xfId="0" applyFont="1" applyBorder="1" applyAlignment="1">
      <alignment horizontal="center" vertical="center"/>
    </xf>
    <xf numFmtId="0" fontId="36" fillId="0" borderId="54" xfId="0" applyFont="1" applyBorder="1" applyAlignment="1">
      <alignment vertical="center"/>
    </xf>
    <xf numFmtId="0" fontId="36" fillId="0" borderId="31" xfId="0" applyFont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38" fillId="0" borderId="18" xfId="0" applyFont="1" applyBorder="1" applyAlignment="1">
      <alignment horizontal="center" vertical="center"/>
    </xf>
    <xf numFmtId="0" fontId="36" fillId="0" borderId="30" xfId="0" applyFont="1" applyBorder="1" applyAlignment="1">
      <alignment vertical="center"/>
    </xf>
    <xf numFmtId="0" fontId="36" fillId="0" borderId="62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ill="1" applyBorder="1" applyAlignment="1">
      <alignment vertical="center"/>
    </xf>
    <xf numFmtId="0" fontId="36" fillId="0" borderId="18" xfId="0" applyFont="1" applyBorder="1" applyAlignment="1">
      <alignment vertical="center"/>
    </xf>
    <xf numFmtId="0" fontId="0" fillId="44" borderId="57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45" fillId="0" borderId="33" xfId="0" applyFont="1" applyFill="1" applyBorder="1" applyAlignment="1">
      <alignment vertical="center"/>
    </xf>
    <xf numFmtId="0" fontId="36" fillId="0" borderId="64" xfId="0" applyFont="1" applyBorder="1" applyAlignment="1">
      <alignment vertical="center"/>
    </xf>
    <xf numFmtId="0" fontId="45" fillId="0" borderId="33" xfId="0" applyFont="1" applyFill="1" applyBorder="1" applyAlignment="1">
      <alignment horizontal="center" vertical="center"/>
    </xf>
    <xf numFmtId="14" fontId="74" fillId="0" borderId="0" xfId="0" applyNumberFormat="1" applyFont="1" applyAlignment="1">
      <alignment vertical="center"/>
    </xf>
    <xf numFmtId="0" fontId="38" fillId="0" borderId="17" xfId="0" applyFont="1" applyFill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36" fillId="0" borderId="66" xfId="0" applyFont="1" applyBorder="1" applyAlignment="1">
      <alignment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6" fillId="0" borderId="67" xfId="0" applyFont="1" applyBorder="1" applyAlignment="1">
      <alignment vertical="center"/>
    </xf>
    <xf numFmtId="0" fontId="38" fillId="0" borderId="28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/>
    </xf>
    <xf numFmtId="0" fontId="0" fillId="33" borderId="65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38" fillId="0" borderId="14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36" fillId="0" borderId="68" xfId="0" applyFont="1" applyBorder="1" applyAlignment="1">
      <alignment vertical="center"/>
    </xf>
    <xf numFmtId="0" fontId="38" fillId="0" borderId="13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vertical="top"/>
    </xf>
    <xf numFmtId="0" fontId="0" fillId="33" borderId="70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52" fillId="0" borderId="16" xfId="0" applyFont="1" applyBorder="1" applyAlignment="1">
      <alignment horizontal="left"/>
    </xf>
    <xf numFmtId="0" fontId="0" fillId="0" borderId="3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52" fillId="0" borderId="22" xfId="0" applyFont="1" applyBorder="1" applyAlignment="1">
      <alignment horizontal="left"/>
    </xf>
    <xf numFmtId="0" fontId="0" fillId="0" borderId="5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45" borderId="31" xfId="0" applyFill="1" applyBorder="1" applyAlignment="1">
      <alignment vertical="center"/>
    </xf>
    <xf numFmtId="0" fontId="0" fillId="45" borderId="57" xfId="0" applyFill="1" applyBorder="1" applyAlignment="1">
      <alignment vertical="center"/>
    </xf>
    <xf numFmtId="0" fontId="0" fillId="45" borderId="33" xfId="0" applyFill="1" applyBorder="1" applyAlignment="1">
      <alignment vertical="center"/>
    </xf>
    <xf numFmtId="0" fontId="0" fillId="45" borderId="12" xfId="0" applyFill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53" fillId="34" borderId="29" xfId="0" applyFont="1" applyFill="1" applyBorder="1" applyAlignment="1">
      <alignment horizontal="center" vertical="center"/>
    </xf>
    <xf numFmtId="0" fontId="53" fillId="34" borderId="71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3" fillId="34" borderId="66" xfId="0" applyFont="1" applyFill="1" applyBorder="1" applyAlignment="1">
      <alignment horizontal="center" vertical="center"/>
    </xf>
    <xf numFmtId="0" fontId="53" fillId="34" borderId="72" xfId="0" applyFont="1" applyFill="1" applyBorder="1" applyAlignment="1">
      <alignment horizontal="center" vertical="center"/>
    </xf>
    <xf numFmtId="0" fontId="53" fillId="34" borderId="73" xfId="0" applyFont="1" applyFill="1" applyBorder="1" applyAlignment="1">
      <alignment horizontal="center" vertical="center"/>
    </xf>
    <xf numFmtId="0" fontId="53" fillId="34" borderId="74" xfId="0" applyFont="1" applyFill="1" applyBorder="1" applyAlignment="1">
      <alignment horizontal="center" vertical="center"/>
    </xf>
    <xf numFmtId="0" fontId="53" fillId="34" borderId="75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vertical="center"/>
    </xf>
    <xf numFmtId="0" fontId="53" fillId="0" borderId="33" xfId="0" applyFont="1" applyFill="1" applyBorder="1" applyAlignment="1">
      <alignment vertical="center"/>
    </xf>
    <xf numFmtId="0" fontId="53" fillId="0" borderId="73" xfId="0" applyFont="1" applyFill="1" applyBorder="1" applyAlignment="1">
      <alignment vertical="center"/>
    </xf>
    <xf numFmtId="0" fontId="53" fillId="0" borderId="33" xfId="0" applyFont="1" applyBorder="1" applyAlignment="1">
      <alignment vertical="center"/>
    </xf>
    <xf numFmtId="0" fontId="53" fillId="0" borderId="57" xfId="0" applyFont="1" applyBorder="1" applyAlignment="1">
      <alignment vertical="center"/>
    </xf>
    <xf numFmtId="0" fontId="53" fillId="44" borderId="41" xfId="0" applyFont="1" applyFill="1" applyBorder="1" applyAlignment="1">
      <alignment vertical="center"/>
    </xf>
    <xf numFmtId="0" fontId="53" fillId="0" borderId="73" xfId="0" applyFont="1" applyBorder="1" applyAlignment="1">
      <alignment horizontal="center" vertical="center"/>
    </xf>
    <xf numFmtId="0" fontId="53" fillId="0" borderId="73" xfId="0" applyFont="1" applyBorder="1" applyAlignment="1">
      <alignment vertical="center"/>
    </xf>
    <xf numFmtId="0" fontId="53" fillId="0" borderId="63" xfId="0" applyFont="1" applyFill="1" applyBorder="1" applyAlignment="1">
      <alignment vertical="center"/>
    </xf>
    <xf numFmtId="0" fontId="53" fillId="0" borderId="41" xfId="0" applyFont="1" applyBorder="1" applyAlignment="1">
      <alignment vertical="center"/>
    </xf>
    <xf numFmtId="0" fontId="53" fillId="0" borderId="63" xfId="0" applyFont="1" applyBorder="1" applyAlignment="1">
      <alignment vertical="center"/>
    </xf>
    <xf numFmtId="0" fontId="53" fillId="0" borderId="11" xfId="0" applyFont="1" applyFill="1" applyBorder="1" applyAlignment="1">
      <alignment vertical="center"/>
    </xf>
    <xf numFmtId="0" fontId="53" fillId="0" borderId="28" xfId="0" applyFont="1" applyFill="1" applyBorder="1" applyAlignment="1">
      <alignment vertical="center"/>
    </xf>
    <xf numFmtId="0" fontId="53" fillId="0" borderId="13" xfId="0" applyFont="1" applyFill="1" applyBorder="1" applyAlignment="1">
      <alignment vertical="center"/>
    </xf>
    <xf numFmtId="0" fontId="87" fillId="0" borderId="14" xfId="0" applyFont="1" applyBorder="1" applyAlignment="1">
      <alignment horizontal="center" vertical="center" wrapText="1"/>
    </xf>
    <xf numFmtId="173" fontId="2" fillId="0" borderId="0" xfId="0" applyNumberFormat="1" applyFont="1" applyFill="1" applyBorder="1" applyAlignment="1" quotePrefix="1">
      <alignment horizontal="left" vertical="center" wrapText="1"/>
    </xf>
    <xf numFmtId="0" fontId="97" fillId="0" borderId="15" xfId="0" applyFont="1" applyBorder="1" applyAlignment="1">
      <alignment horizontal="center" vertical="center" wrapText="1"/>
    </xf>
    <xf numFmtId="0" fontId="97" fillId="0" borderId="14" xfId="0" applyFont="1" applyBorder="1" applyAlignment="1">
      <alignment horizontal="center" vertical="center" wrapText="1"/>
    </xf>
    <xf numFmtId="0" fontId="97" fillId="0" borderId="12" xfId="0" applyFont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 wrapText="1"/>
    </xf>
    <xf numFmtId="0" fontId="53" fillId="34" borderId="76" xfId="0" applyFont="1" applyFill="1" applyBorder="1" applyAlignment="1">
      <alignment horizontal="center" vertical="center"/>
    </xf>
    <xf numFmtId="0" fontId="98" fillId="34" borderId="72" xfId="0" applyFont="1" applyFill="1" applyBorder="1" applyAlignment="1">
      <alignment horizontal="center" vertical="center"/>
    </xf>
    <xf numFmtId="0" fontId="53" fillId="34" borderId="53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34" borderId="54" xfId="0" applyFont="1" applyFill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98" fillId="34" borderId="29" xfId="0" applyFont="1" applyFill="1" applyBorder="1" applyAlignment="1">
      <alignment horizontal="center" vertical="center"/>
    </xf>
    <xf numFmtId="0" fontId="53" fillId="34" borderId="63" xfId="0" applyFont="1" applyFill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98" fillId="34" borderId="75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34" borderId="77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 wrapText="1"/>
    </xf>
    <xf numFmtId="0" fontId="53" fillId="33" borderId="59" xfId="0" applyFont="1" applyFill="1" applyBorder="1" applyAlignment="1">
      <alignment horizontal="center" vertical="center" wrapText="1"/>
    </xf>
    <xf numFmtId="0" fontId="39" fillId="0" borderId="78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 vertical="center"/>
    </xf>
    <xf numFmtId="0" fontId="39" fillId="0" borderId="80" xfId="0" applyFont="1" applyBorder="1" applyAlignment="1">
      <alignment horizontal="center" vertical="center"/>
    </xf>
    <xf numFmtId="0" fontId="39" fillId="42" borderId="78" xfId="0" applyFont="1" applyFill="1" applyBorder="1" applyAlignment="1">
      <alignment horizontal="center" vertical="center"/>
    </xf>
    <xf numFmtId="0" fontId="39" fillId="42" borderId="79" xfId="0" applyFont="1" applyFill="1" applyBorder="1" applyAlignment="1">
      <alignment horizontal="center" vertical="center"/>
    </xf>
    <xf numFmtId="0" fontId="39" fillId="42" borderId="80" xfId="0" applyFont="1" applyFill="1" applyBorder="1" applyAlignment="1">
      <alignment horizontal="center" vertical="center"/>
    </xf>
    <xf numFmtId="0" fontId="0" fillId="46" borderId="27" xfId="0" applyFill="1" applyBorder="1" applyAlignment="1">
      <alignment/>
    </xf>
    <xf numFmtId="0" fontId="0" fillId="47" borderId="24" xfId="0" applyFill="1" applyBorder="1" applyAlignment="1">
      <alignment/>
    </xf>
    <xf numFmtId="0" fontId="39" fillId="48" borderId="80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0" xfId="0" applyFill="1" applyAlignment="1" quotePrefix="1">
      <alignment/>
    </xf>
    <xf numFmtId="17" fontId="2" fillId="0" borderId="0" xfId="0" applyNumberFormat="1" applyFont="1" applyFill="1" applyBorder="1" applyAlignment="1">
      <alignment vertical="center" wrapText="1"/>
    </xf>
    <xf numFmtId="0" fontId="36" fillId="0" borderId="0" xfId="0" applyFont="1" applyAlignment="1">
      <alignment vertical="center"/>
    </xf>
    <xf numFmtId="0" fontId="43" fillId="39" borderId="81" xfId="0" applyFont="1" applyFill="1" applyBorder="1" applyAlignment="1">
      <alignment horizontal="left"/>
    </xf>
    <xf numFmtId="0" fontId="43" fillId="39" borderId="82" xfId="0" applyFont="1" applyFill="1" applyBorder="1" applyAlignment="1">
      <alignment horizontal="left"/>
    </xf>
    <xf numFmtId="0" fontId="43" fillId="39" borderId="83" xfId="0" applyFont="1" applyFill="1" applyBorder="1" applyAlignment="1">
      <alignment horizontal="left"/>
    </xf>
    <xf numFmtId="0" fontId="49" fillId="34" borderId="84" xfId="0" applyFont="1" applyFill="1" applyBorder="1" applyAlignment="1">
      <alignment horizontal="center" vertical="center"/>
    </xf>
    <xf numFmtId="0" fontId="77" fillId="41" borderId="0" xfId="0" applyFont="1" applyFill="1" applyBorder="1" applyAlignment="1">
      <alignment horizontal="right" vertical="center"/>
    </xf>
    <xf numFmtId="0" fontId="49" fillId="34" borderId="85" xfId="0" applyFont="1" applyFill="1" applyBorder="1" applyAlignment="1">
      <alignment horizontal="center" vertical="center"/>
    </xf>
    <xf numFmtId="0" fontId="99" fillId="49" borderId="0" xfId="0" applyFont="1" applyFill="1" applyBorder="1" applyAlignment="1">
      <alignment horizontal="center" vertical="center"/>
    </xf>
    <xf numFmtId="0" fontId="100" fillId="50" borderId="0" xfId="0" applyFont="1" applyFill="1" applyBorder="1" applyAlignment="1">
      <alignment horizontal="right" vertical="center"/>
    </xf>
    <xf numFmtId="0" fontId="39" fillId="0" borderId="56" xfId="0" applyFont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/>
    </xf>
    <xf numFmtId="0" fontId="39" fillId="48" borderId="14" xfId="0" applyFont="1" applyFill="1" applyBorder="1" applyAlignment="1">
      <alignment horizontal="center" vertical="center"/>
    </xf>
    <xf numFmtId="0" fontId="39" fillId="0" borderId="86" xfId="0" applyFont="1" applyBorder="1" applyAlignment="1">
      <alignment vertical="center" wrapText="1"/>
    </xf>
    <xf numFmtId="0" fontId="39" fillId="51" borderId="87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39" fillId="38" borderId="88" xfId="0" applyFont="1" applyFill="1" applyBorder="1" applyAlignment="1">
      <alignment horizontal="center" vertical="center" wrapText="1"/>
    </xf>
    <xf numFmtId="0" fontId="15" fillId="33" borderId="89" xfId="42" applyNumberFormat="1" applyFill="1" applyBorder="1" applyAlignment="1" applyProtection="1">
      <alignment horizontal="center" vertical="center" wrapText="1"/>
      <protection/>
    </xf>
    <xf numFmtId="0" fontId="39" fillId="38" borderId="90" xfId="0" applyFont="1" applyFill="1" applyBorder="1" applyAlignment="1">
      <alignment horizontal="center" vertical="top" wrapText="1"/>
    </xf>
    <xf numFmtId="0" fontId="52" fillId="38" borderId="91" xfId="0" applyFont="1" applyFill="1" applyBorder="1" applyAlignment="1">
      <alignment horizontal="center" vertical="center" wrapText="1"/>
    </xf>
    <xf numFmtId="0" fontId="39" fillId="0" borderId="91" xfId="0" applyFont="1" applyFill="1" applyBorder="1" applyAlignment="1">
      <alignment horizontal="center" vertical="center" wrapText="1"/>
    </xf>
    <xf numFmtId="0" fontId="36" fillId="38" borderId="91" xfId="0" applyFont="1" applyFill="1" applyBorder="1" applyAlignment="1">
      <alignment horizontal="center" vertical="center" wrapText="1"/>
    </xf>
    <xf numFmtId="0" fontId="0" fillId="33" borderId="82" xfId="0" applyFill="1" applyBorder="1" applyAlignment="1">
      <alignment/>
    </xf>
    <xf numFmtId="0" fontId="38" fillId="38" borderId="91" xfId="0" applyFont="1" applyFill="1" applyBorder="1" applyAlignment="1">
      <alignment horizontal="right" vertical="center" wrapText="1"/>
    </xf>
    <xf numFmtId="0" fontId="0" fillId="33" borderId="91" xfId="0" applyFill="1" applyBorder="1" applyAlignment="1">
      <alignment/>
    </xf>
    <xf numFmtId="0" fontId="48" fillId="0" borderId="92" xfId="0" applyFont="1" applyFill="1" applyBorder="1" applyAlignment="1">
      <alignment horizontal="center" vertical="center"/>
    </xf>
    <xf numFmtId="0" fontId="48" fillId="0" borderId="93" xfId="0" applyFont="1" applyFill="1" applyBorder="1" applyAlignment="1">
      <alignment horizontal="center" vertical="center"/>
    </xf>
    <xf numFmtId="0" fontId="48" fillId="0" borderId="65" xfId="0" applyFont="1" applyFill="1" applyBorder="1" applyAlignment="1">
      <alignment horizontal="center" vertical="center"/>
    </xf>
    <xf numFmtId="0" fontId="39" fillId="38" borderId="82" xfId="0" applyFont="1" applyFill="1" applyBorder="1" applyAlignment="1">
      <alignment horizontal="center" vertical="top" wrapText="1"/>
    </xf>
    <xf numFmtId="0" fontId="0" fillId="33" borderId="90" xfId="0" applyFill="1" applyBorder="1" applyAlignment="1">
      <alignment/>
    </xf>
    <xf numFmtId="0" fontId="102" fillId="33" borderId="12" xfId="0" applyFont="1" applyFill="1" applyBorder="1" applyAlignment="1">
      <alignment vertical="center" wrapText="1"/>
    </xf>
    <xf numFmtId="0" fontId="10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87" fillId="0" borderId="94" xfId="0" applyFont="1" applyBorder="1" applyAlignment="1">
      <alignment horizontal="center" vertical="center" wrapText="1"/>
    </xf>
    <xf numFmtId="0" fontId="0" fillId="52" borderId="29" xfId="0" applyFill="1" applyBorder="1" applyAlignment="1">
      <alignment horizontal="center" vertical="center"/>
    </xf>
    <xf numFmtId="0" fontId="0" fillId="52" borderId="26" xfId="0" applyFill="1" applyBorder="1" applyAlignment="1">
      <alignment horizontal="center" vertical="center"/>
    </xf>
    <xf numFmtId="0" fontId="0" fillId="0" borderId="0" xfId="0" applyAlignment="1" quotePrefix="1">
      <alignment/>
    </xf>
    <xf numFmtId="14" fontId="39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" fillId="0" borderId="0" xfId="0" applyFont="1" applyFill="1" applyBorder="1" applyAlignment="1" quotePrefix="1">
      <alignment vertical="center" wrapText="1"/>
    </xf>
    <xf numFmtId="0" fontId="104" fillId="0" borderId="0" xfId="0" applyFont="1" applyAlignment="1">
      <alignment vertical="center"/>
    </xf>
    <xf numFmtId="0" fontId="39" fillId="0" borderId="0" xfId="0" applyFont="1" applyAlignment="1">
      <alignment/>
    </xf>
    <xf numFmtId="0" fontId="38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53" fillId="0" borderId="12" xfId="0" applyFont="1" applyFill="1" applyBorder="1" applyAlignment="1">
      <alignment horizontal="left" vertical="center"/>
    </xf>
    <xf numFmtId="0" fontId="39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81" fillId="34" borderId="73" xfId="0" applyFont="1" applyFill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74" fillId="0" borderId="0" xfId="0" applyFont="1" applyAlignment="1">
      <alignment/>
    </xf>
    <xf numFmtId="0" fontId="53" fillId="33" borderId="91" xfId="0" applyFont="1" applyFill="1" applyBorder="1" applyAlignment="1">
      <alignment horizontal="center" vertical="center"/>
    </xf>
    <xf numFmtId="0" fontId="55" fillId="53" borderId="18" xfId="0" applyFont="1" applyFill="1" applyBorder="1" applyAlignment="1">
      <alignment horizontal="right" vertical="center"/>
    </xf>
    <xf numFmtId="0" fontId="57" fillId="54" borderId="33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47" borderId="94" xfId="0" applyFont="1" applyFill="1" applyBorder="1" applyAlignment="1">
      <alignment vertical="center"/>
    </xf>
    <xf numFmtId="9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0" fillId="0" borderId="0" xfId="0" applyNumberFormat="1" applyBorder="1" applyAlignment="1">
      <alignment horizontal="center" vertical="center" wrapText="1"/>
    </xf>
    <xf numFmtId="0" fontId="34" fillId="55" borderId="22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36" fillId="0" borderId="78" xfId="0" applyFont="1" applyFill="1" applyBorder="1" applyAlignment="1">
      <alignment horizontal="center" vertical="center"/>
    </xf>
    <xf numFmtId="0" fontId="36" fillId="0" borderId="79" xfId="0" applyFont="1" applyFill="1" applyBorder="1" applyAlignment="1">
      <alignment horizontal="center" vertical="center"/>
    </xf>
    <xf numFmtId="0" fontId="36" fillId="0" borderId="79" xfId="0" applyFont="1" applyFill="1" applyBorder="1" applyAlignment="1">
      <alignment horizontal="center" vertical="center" wrapText="1"/>
    </xf>
    <xf numFmtId="0" fontId="38" fillId="38" borderId="86" xfId="0" applyFont="1" applyFill="1" applyBorder="1" applyAlignment="1">
      <alignment horizontal="right" vertical="center" wrapText="1"/>
    </xf>
    <xf numFmtId="0" fontId="38" fillId="38" borderId="87" xfId="0" applyFont="1" applyFill="1" applyBorder="1" applyAlignment="1">
      <alignment horizontal="left" vertical="center" wrapText="1"/>
    </xf>
    <xf numFmtId="0" fontId="36" fillId="0" borderId="95" xfId="0" applyFont="1" applyFill="1" applyBorder="1" applyAlignment="1">
      <alignment horizontal="center" vertical="center"/>
    </xf>
    <xf numFmtId="0" fontId="39" fillId="38" borderId="81" xfId="0" applyFont="1" applyFill="1" applyBorder="1" applyAlignment="1">
      <alignment horizontal="center" vertical="center" wrapText="1"/>
    </xf>
    <xf numFmtId="0" fontId="39" fillId="38" borderId="83" xfId="0" applyFont="1" applyFill="1" applyBorder="1" applyAlignment="1">
      <alignment horizontal="center" vertical="center" wrapText="1"/>
    </xf>
    <xf numFmtId="0" fontId="39" fillId="38" borderId="94" xfId="0" applyFont="1" applyFill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40" fillId="33" borderId="0" xfId="0" applyFont="1" applyFill="1" applyAlignment="1">
      <alignment vertical="center"/>
    </xf>
    <xf numFmtId="0" fontId="39" fillId="33" borderId="0" xfId="0" applyFont="1" applyFill="1" applyAlignment="1">
      <alignment vertical="center"/>
    </xf>
    <xf numFmtId="0" fontId="0" fillId="33" borderId="0" xfId="0" applyFill="1" applyAlignment="1">
      <alignment vertical="center" wrapText="1"/>
    </xf>
    <xf numFmtId="0" fontId="38" fillId="0" borderId="0" xfId="0" applyFont="1" applyAlignment="1">
      <alignment vertical="center"/>
    </xf>
    <xf numFmtId="0" fontId="46" fillId="37" borderId="10" xfId="0" applyFont="1" applyFill="1" applyBorder="1" applyAlignment="1">
      <alignment horizontal="center" vertical="center"/>
    </xf>
    <xf numFmtId="0" fontId="46" fillId="37" borderId="15" xfId="0" applyFont="1" applyFill="1" applyBorder="1" applyAlignment="1">
      <alignment horizontal="center" vertical="center"/>
    </xf>
    <xf numFmtId="0" fontId="44" fillId="43" borderId="10" xfId="0" applyFont="1" applyFill="1" applyBorder="1" applyAlignment="1">
      <alignment horizontal="center" vertical="center" wrapText="1"/>
    </xf>
    <xf numFmtId="0" fontId="44" fillId="56" borderId="12" xfId="0" applyFont="1" applyFill="1" applyBorder="1" applyAlignment="1">
      <alignment horizontal="center" vertical="center" wrapText="1"/>
    </xf>
    <xf numFmtId="0" fontId="0" fillId="38" borderId="0" xfId="0" applyFill="1" applyAlignment="1">
      <alignment horizontal="left" vertical="center"/>
    </xf>
    <xf numFmtId="0" fontId="50" fillId="41" borderId="72" xfId="0" applyFont="1" applyFill="1" applyBorder="1" applyAlignment="1">
      <alignment horizontal="right" vertical="center"/>
    </xf>
    <xf numFmtId="0" fontId="0" fillId="38" borderId="0" xfId="0" applyFill="1" applyBorder="1" applyAlignment="1">
      <alignment vertical="center"/>
    </xf>
    <xf numFmtId="0" fontId="0" fillId="57" borderId="0" xfId="0" applyFont="1" applyFill="1" applyAlignment="1">
      <alignment vertical="center"/>
    </xf>
    <xf numFmtId="0" fontId="0" fillId="44" borderId="0" xfId="0" applyFill="1" applyBorder="1" applyAlignment="1">
      <alignment vertical="center"/>
    </xf>
    <xf numFmtId="0" fontId="0" fillId="37" borderId="16" xfId="0" applyFill="1" applyBorder="1" applyAlignment="1">
      <alignment vertical="center"/>
    </xf>
    <xf numFmtId="0" fontId="57" fillId="37" borderId="16" xfId="0" applyFont="1" applyFill="1" applyBorder="1" applyAlignment="1">
      <alignment horizontal="right" vertical="center"/>
    </xf>
    <xf numFmtId="0" fontId="60" fillId="33" borderId="94" xfId="0" applyFont="1" applyFill="1" applyBorder="1" applyAlignment="1">
      <alignment horizontal="right" vertical="center" wrapText="1"/>
    </xf>
    <xf numFmtId="0" fontId="55" fillId="53" borderId="18" xfId="0" applyFont="1" applyFill="1" applyBorder="1" applyAlignment="1">
      <alignment horizontal="right" vertical="center"/>
    </xf>
    <xf numFmtId="0" fontId="36" fillId="0" borderId="96" xfId="0" applyFont="1" applyFill="1" applyBorder="1" applyAlignment="1">
      <alignment horizontal="center" vertical="center"/>
    </xf>
    <xf numFmtId="0" fontId="48" fillId="0" borderId="97" xfId="0" applyFont="1" applyFill="1" applyBorder="1" applyAlignment="1">
      <alignment horizontal="center" vertical="center"/>
    </xf>
    <xf numFmtId="0" fontId="39" fillId="0" borderId="98" xfId="0" applyFont="1" applyBorder="1" applyAlignment="1">
      <alignment horizontal="center" vertical="center"/>
    </xf>
    <xf numFmtId="0" fontId="48" fillId="48" borderId="97" xfId="0" applyFont="1" applyFill="1" applyBorder="1" applyAlignment="1">
      <alignment horizontal="center" vertical="center"/>
    </xf>
    <xf numFmtId="0" fontId="39" fillId="48" borderId="98" xfId="0" applyFont="1" applyFill="1" applyBorder="1" applyAlignment="1">
      <alignment horizontal="center" vertical="center"/>
    </xf>
    <xf numFmtId="0" fontId="48" fillId="0" borderId="99" xfId="0" applyFont="1" applyFill="1" applyBorder="1" applyAlignment="1">
      <alignment horizontal="center" vertical="center"/>
    </xf>
    <xf numFmtId="0" fontId="39" fillId="0" borderId="100" xfId="0" applyFont="1" applyBorder="1" applyAlignment="1">
      <alignment horizontal="center" vertical="center"/>
    </xf>
    <xf numFmtId="0" fontId="44" fillId="43" borderId="28" xfId="0" applyFont="1" applyFill="1" applyBorder="1" applyAlignment="1">
      <alignment horizontal="center" vertical="center" wrapText="1"/>
    </xf>
    <xf numFmtId="0" fontId="0" fillId="0" borderId="94" xfId="0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101" xfId="0" applyBorder="1" applyAlignment="1">
      <alignment horizontal="center" vertical="center"/>
    </xf>
    <xf numFmtId="0" fontId="0" fillId="0" borderId="82" xfId="0" applyBorder="1" applyAlignment="1">
      <alignment horizontal="right" vertical="center"/>
    </xf>
    <xf numFmtId="0" fontId="0" fillId="0" borderId="83" xfId="0" applyBorder="1" applyAlignment="1">
      <alignment horizontal="right" vertical="center"/>
    </xf>
    <xf numFmtId="0" fontId="0" fillId="0" borderId="86" xfId="0" applyBorder="1" applyAlignment="1">
      <alignment vertical="center"/>
    </xf>
    <xf numFmtId="0" fontId="0" fillId="0" borderId="79" xfId="0" applyFont="1" applyBorder="1" applyAlignment="1">
      <alignment horizontal="right" vertical="center"/>
    </xf>
    <xf numFmtId="0" fontId="0" fillId="0" borderId="80" xfId="0" applyFont="1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103" xfId="0" applyBorder="1" applyAlignment="1">
      <alignment vertical="center"/>
    </xf>
    <xf numFmtId="0" fontId="0" fillId="0" borderId="104" xfId="0" applyBorder="1" applyAlignment="1">
      <alignment vertical="center"/>
    </xf>
    <xf numFmtId="0" fontId="0" fillId="0" borderId="105" xfId="0" applyBorder="1" applyAlignment="1">
      <alignment vertical="center"/>
    </xf>
    <xf numFmtId="0" fontId="0" fillId="38" borderId="106" xfId="0" applyFill="1" applyBorder="1" applyAlignment="1">
      <alignment vertical="center"/>
    </xf>
    <xf numFmtId="0" fontId="0" fillId="38" borderId="96" xfId="0" applyFill="1" applyBorder="1" applyAlignment="1">
      <alignment vertical="center"/>
    </xf>
    <xf numFmtId="0" fontId="0" fillId="44" borderId="106" xfId="0" applyFill="1" applyBorder="1" applyAlignment="1">
      <alignment vertical="center"/>
    </xf>
    <xf numFmtId="0" fontId="0" fillId="44" borderId="96" xfId="0" applyFill="1" applyBorder="1" applyAlignment="1">
      <alignment vertical="center"/>
    </xf>
    <xf numFmtId="0" fontId="0" fillId="38" borderId="107" xfId="0" applyFill="1" applyBorder="1" applyAlignment="1">
      <alignment vertical="center"/>
    </xf>
    <xf numFmtId="0" fontId="0" fillId="38" borderId="108" xfId="0" applyFill="1" applyBorder="1" applyAlignment="1">
      <alignment vertical="center"/>
    </xf>
    <xf numFmtId="0" fontId="0" fillId="38" borderId="101" xfId="0" applyFill="1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109" xfId="0" applyBorder="1" applyAlignment="1">
      <alignment vertical="center"/>
    </xf>
    <xf numFmtId="0" fontId="39" fillId="58" borderId="110" xfId="0" applyFont="1" applyFill="1" applyBorder="1" applyAlignment="1">
      <alignment horizontal="center" vertical="center" wrapText="1"/>
    </xf>
    <xf numFmtId="0" fontId="0" fillId="0" borderId="111" xfId="0" applyBorder="1" applyAlignment="1">
      <alignment horizontal="center" vertical="center"/>
    </xf>
    <xf numFmtId="0" fontId="0" fillId="0" borderId="112" xfId="0" applyFont="1" applyBorder="1" applyAlignment="1">
      <alignment vertical="center"/>
    </xf>
    <xf numFmtId="0" fontId="0" fillId="0" borderId="113" xfId="0" applyBorder="1" applyAlignment="1">
      <alignment horizontal="center" vertical="center"/>
    </xf>
    <xf numFmtId="0" fontId="81" fillId="0" borderId="0" xfId="0" applyFont="1" applyAlignment="1" applyProtection="1">
      <alignment vertical="center"/>
      <protection locked="0"/>
    </xf>
    <xf numFmtId="2" fontId="45" fillId="0" borderId="12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36" fillId="0" borderId="10" xfId="0" applyFont="1" applyBorder="1" applyAlignment="1" applyProtection="1">
      <alignment horizontal="right"/>
      <protection locked="0"/>
    </xf>
    <xf numFmtId="0" fontId="36" fillId="42" borderId="12" xfId="0" applyFont="1" applyFill="1" applyBorder="1" applyAlignment="1" applyProtection="1">
      <alignment horizontal="center"/>
      <protection locked="0"/>
    </xf>
    <xf numFmtId="0" fontId="0" fillId="0" borderId="65" xfId="0" applyBorder="1" applyAlignment="1" applyProtection="1">
      <alignment/>
      <protection locked="0"/>
    </xf>
    <xf numFmtId="174" fontId="0" fillId="0" borderId="0" xfId="0" applyNumberFormat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36" fillId="0" borderId="16" xfId="0" applyFont="1" applyBorder="1" applyAlignment="1" applyProtection="1">
      <alignment horizontal="right"/>
      <protection locked="0"/>
    </xf>
    <xf numFmtId="0" fontId="36" fillId="59" borderId="11" xfId="0" applyFont="1" applyFill="1" applyBorder="1" applyAlignment="1" applyProtection="1">
      <alignment horizontal="center"/>
      <protection locked="0"/>
    </xf>
    <xf numFmtId="49" fontId="89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14" fontId="39" fillId="0" borderId="35" xfId="0" applyNumberFormat="1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49" fillId="34" borderId="0" xfId="0" applyFont="1" applyFill="1" applyAlignment="1" applyProtection="1">
      <alignment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36" fillId="0" borderId="53" xfId="0" applyFont="1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49" fontId="11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49" fontId="11" fillId="0" borderId="114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1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78" xfId="0" applyFont="1" applyBorder="1" applyAlignment="1" applyProtection="1">
      <alignment horizontal="center" vertical="center"/>
      <protection locked="0"/>
    </xf>
    <xf numFmtId="0" fontId="38" fillId="0" borderId="28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vertical="center"/>
      <protection locked="0"/>
    </xf>
    <xf numFmtId="0" fontId="0" fillId="0" borderId="55" xfId="0" applyFill="1" applyBorder="1" applyAlignment="1" applyProtection="1">
      <alignment vertical="center"/>
      <protection locked="0"/>
    </xf>
    <xf numFmtId="0" fontId="11" fillId="0" borderId="31" xfId="0" applyFont="1" applyFill="1" applyBorder="1" applyAlignment="1" applyProtection="1">
      <alignment horizontal="center" wrapText="1"/>
      <protection locked="0"/>
    </xf>
    <xf numFmtId="0" fontId="38" fillId="0" borderId="66" xfId="0" applyFont="1" applyBorder="1" applyAlignment="1" applyProtection="1">
      <alignment/>
      <protection locked="0"/>
    </xf>
    <xf numFmtId="0" fontId="0" fillId="0" borderId="72" xfId="0" applyFont="1" applyBorder="1" applyAlignment="1" applyProtection="1">
      <alignment/>
      <protection locked="0"/>
    </xf>
    <xf numFmtId="0" fontId="38" fillId="0" borderId="67" xfId="0" applyFont="1" applyBorder="1" applyAlignment="1" applyProtection="1">
      <alignment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11" fillId="0" borderId="33" xfId="0" applyFont="1" applyFill="1" applyBorder="1" applyAlignment="1" applyProtection="1">
      <alignment horizontal="center" wrapText="1"/>
      <protection locked="0"/>
    </xf>
    <xf numFmtId="0" fontId="0" fillId="0" borderId="29" xfId="0" applyFont="1" applyBorder="1" applyAlignment="1" applyProtection="1">
      <alignment/>
      <protection locked="0"/>
    </xf>
    <xf numFmtId="0" fontId="38" fillId="0" borderId="79" xfId="0" applyFont="1" applyBorder="1" applyAlignment="1" applyProtection="1">
      <alignment horizontal="center" vertical="center"/>
      <protection locked="0"/>
    </xf>
    <xf numFmtId="0" fontId="90" fillId="0" borderId="33" xfId="0" applyFont="1" applyFill="1" applyBorder="1" applyAlignment="1" applyProtection="1">
      <alignment horizontal="center" wrapText="1"/>
      <protection locked="0"/>
    </xf>
    <xf numFmtId="0" fontId="92" fillId="33" borderId="33" xfId="0" applyFont="1" applyFill="1" applyBorder="1" applyAlignment="1" applyProtection="1">
      <alignment horizontal="center" wrapText="1"/>
      <protection locked="0"/>
    </xf>
    <xf numFmtId="0" fontId="96" fillId="0" borderId="67" xfId="0" applyFont="1" applyBorder="1" applyAlignment="1" applyProtection="1">
      <alignment/>
      <protection locked="0"/>
    </xf>
    <xf numFmtId="0" fontId="73" fillId="0" borderId="29" xfId="0" applyFont="1" applyBorder="1" applyAlignment="1" applyProtection="1">
      <alignment/>
      <protection locked="0"/>
    </xf>
    <xf numFmtId="0" fontId="11" fillId="33" borderId="33" xfId="0" applyFont="1" applyFill="1" applyBorder="1" applyAlignment="1" applyProtection="1">
      <alignment horizontal="center" wrapText="1"/>
      <protection locked="0"/>
    </xf>
    <xf numFmtId="0" fontId="9" fillId="34" borderId="15" xfId="0" applyFont="1" applyFill="1" applyBorder="1" applyAlignment="1" applyProtection="1">
      <alignment horizontal="center" vertical="center" wrapText="1"/>
      <protection locked="0"/>
    </xf>
    <xf numFmtId="0" fontId="9" fillId="0" borderId="33" xfId="0" applyFont="1" applyFill="1" applyBorder="1" applyAlignment="1" applyProtection="1">
      <alignment horizontal="center" wrapText="1"/>
      <protection locked="0"/>
    </xf>
    <xf numFmtId="0" fontId="45" fillId="0" borderId="67" xfId="0" applyFont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11" fillId="0" borderId="28" xfId="0" applyFont="1" applyFill="1" applyBorder="1" applyAlignment="1" applyProtection="1">
      <alignment horizontal="center" wrapText="1"/>
      <protection locked="0"/>
    </xf>
    <xf numFmtId="0" fontId="11" fillId="0" borderId="41" xfId="0" applyFont="1" applyFill="1" applyBorder="1" applyAlignment="1" applyProtection="1">
      <alignment horizontal="center" wrapText="1"/>
      <protection locked="0"/>
    </xf>
    <xf numFmtId="0" fontId="11" fillId="0" borderId="57" xfId="0" applyFont="1" applyBorder="1" applyAlignment="1" applyProtection="1">
      <alignment horizontal="center" wrapText="1"/>
      <protection locked="0"/>
    </xf>
    <xf numFmtId="0" fontId="38" fillId="0" borderId="68" xfId="0" applyFont="1" applyBorder="1" applyAlignment="1" applyProtection="1">
      <alignment/>
      <protection locked="0"/>
    </xf>
    <xf numFmtId="0" fontId="0" fillId="0" borderId="75" xfId="0" applyFont="1" applyBorder="1" applyAlignment="1" applyProtection="1">
      <alignment/>
      <protection locked="0"/>
    </xf>
    <xf numFmtId="0" fontId="11" fillId="0" borderId="41" xfId="0" applyFont="1" applyBorder="1" applyAlignment="1" applyProtection="1">
      <alignment horizontal="center" wrapText="1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53" fillId="0" borderId="0" xfId="0" applyFont="1" applyAlignment="1" applyProtection="1">
      <alignment/>
      <protection locked="0"/>
    </xf>
    <xf numFmtId="0" fontId="92" fillId="0" borderId="57" xfId="0" applyFont="1" applyFill="1" applyBorder="1" applyAlignment="1" applyProtection="1">
      <alignment horizontal="center" wrapText="1"/>
      <protection locked="0"/>
    </xf>
    <xf numFmtId="0" fontId="95" fillId="0" borderId="67" xfId="0" applyFont="1" applyBorder="1" applyAlignment="1" applyProtection="1">
      <alignment/>
      <protection locked="0"/>
    </xf>
    <xf numFmtId="0" fontId="73" fillId="0" borderId="75" xfId="0" applyFont="1" applyBorder="1" applyAlignment="1" applyProtection="1">
      <alignment/>
      <protection locked="0"/>
    </xf>
    <xf numFmtId="0" fontId="0" fillId="0" borderId="116" xfId="0" applyFont="1" applyBorder="1" applyAlignment="1" applyProtection="1">
      <alignment/>
      <protection locked="0"/>
    </xf>
    <xf numFmtId="0" fontId="38" fillId="0" borderId="117" xfId="0" applyFont="1" applyBorder="1" applyAlignment="1" applyProtection="1">
      <alignment/>
      <protection locked="0"/>
    </xf>
    <xf numFmtId="0" fontId="45" fillId="0" borderId="0" xfId="0" applyFont="1" applyBorder="1" applyAlignment="1" applyProtection="1">
      <alignment/>
      <protection locked="0"/>
    </xf>
    <xf numFmtId="0" fontId="38" fillId="0" borderId="64" xfId="0" applyFont="1" applyBorder="1" applyAlignment="1" applyProtection="1">
      <alignment/>
      <protection locked="0"/>
    </xf>
    <xf numFmtId="0" fontId="38" fillId="0" borderId="80" xfId="0" applyFont="1" applyBorder="1" applyAlignment="1" applyProtection="1">
      <alignment horizontal="center" vertical="center"/>
      <protection locked="0"/>
    </xf>
    <xf numFmtId="0" fontId="0" fillId="0" borderId="87" xfId="0" applyFont="1" applyBorder="1" applyAlignment="1" applyProtection="1">
      <alignment vertical="center"/>
      <protection locked="0"/>
    </xf>
    <xf numFmtId="0" fontId="0" fillId="0" borderId="118" xfId="0" applyFont="1" applyBorder="1" applyAlignment="1" applyProtection="1">
      <alignment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56" xfId="0" applyFill="1" applyBorder="1" applyAlignment="1" applyProtection="1">
      <alignment vertical="center"/>
      <protection locked="0"/>
    </xf>
    <xf numFmtId="0" fontId="0" fillId="0" borderId="118" xfId="0" applyFont="1" applyFill="1" applyBorder="1" applyAlignment="1" applyProtection="1">
      <alignment/>
      <protection locked="0"/>
    </xf>
    <xf numFmtId="0" fontId="38" fillId="0" borderId="15" xfId="0" applyFont="1" applyBorder="1" applyAlignment="1" applyProtection="1">
      <alignment/>
      <protection locked="0"/>
    </xf>
    <xf numFmtId="0" fontId="0" fillId="0" borderId="119" xfId="0" applyBorder="1" applyAlignment="1" applyProtection="1">
      <alignment vertical="center"/>
      <protection locked="0"/>
    </xf>
    <xf numFmtId="0" fontId="0" fillId="0" borderId="120" xfId="0" applyFont="1" applyFill="1" applyBorder="1" applyAlignment="1" applyProtection="1">
      <alignment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121" xfId="0" applyBorder="1" applyAlignment="1" applyProtection="1">
      <alignment vertical="center"/>
      <protection locked="0"/>
    </xf>
    <xf numFmtId="0" fontId="0" fillId="0" borderId="122" xfId="0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23" xfId="0" applyBorder="1" applyAlignment="1" applyProtection="1">
      <alignment vertical="center"/>
      <protection locked="0"/>
    </xf>
    <xf numFmtId="0" fontId="0" fillId="0" borderId="124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8" fillId="0" borderId="28" xfId="0" applyFont="1" applyBorder="1" applyAlignment="1" applyProtection="1">
      <alignment horizontal="left" vertical="center"/>
      <protection locked="0"/>
    </xf>
    <xf numFmtId="0" fontId="39" fillId="0" borderId="10" xfId="0" applyFont="1" applyBorder="1" applyAlignment="1" applyProtection="1">
      <alignment vertical="center"/>
      <protection locked="0"/>
    </xf>
    <xf numFmtId="0" fontId="39" fillId="0" borderId="15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4" fontId="39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 quotePrefix="1">
      <alignment vertical="center"/>
      <protection locked="0"/>
    </xf>
    <xf numFmtId="14" fontId="74" fillId="0" borderId="0" xfId="0" applyNumberFormat="1" applyFont="1" applyAlignment="1" applyProtection="1">
      <alignment vertical="center"/>
      <protection locked="0"/>
    </xf>
    <xf numFmtId="0" fontId="81" fillId="34" borderId="71" xfId="0" applyFont="1" applyFill="1" applyBorder="1" applyAlignment="1" applyProtection="1">
      <alignment vertical="center"/>
      <protection locked="0"/>
    </xf>
    <xf numFmtId="0" fontId="81" fillId="34" borderId="125" xfId="0" applyFont="1" applyFill="1" applyBorder="1" applyAlignment="1" applyProtection="1">
      <alignment vertical="center"/>
      <protection locked="0"/>
    </xf>
    <xf numFmtId="0" fontId="53" fillId="34" borderId="71" xfId="0" applyFont="1" applyFill="1" applyBorder="1" applyAlignment="1" applyProtection="1">
      <alignment vertical="center"/>
      <protection locked="0"/>
    </xf>
    <xf numFmtId="0" fontId="81" fillId="0" borderId="0" xfId="0" applyFont="1" applyAlignment="1" applyProtection="1" quotePrefix="1">
      <alignment vertical="center"/>
      <protection locked="0"/>
    </xf>
    <xf numFmtId="0" fontId="53" fillId="34" borderId="125" xfId="0" applyFont="1" applyFill="1" applyBorder="1" applyAlignment="1" applyProtection="1">
      <alignment vertical="center"/>
      <protection locked="0"/>
    </xf>
    <xf numFmtId="0" fontId="0" fillId="0" borderId="94" xfId="0" applyBorder="1" applyAlignment="1" applyProtection="1">
      <alignment vertical="center"/>
      <protection locked="0"/>
    </xf>
    <xf numFmtId="0" fontId="38" fillId="0" borderId="41" xfId="0" applyFont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vertical="center"/>
      <protection locked="0"/>
    </xf>
    <xf numFmtId="14" fontId="81" fillId="0" borderId="0" xfId="0" applyNumberFormat="1" applyFont="1" applyAlignment="1" applyProtection="1">
      <alignment vertical="center"/>
      <protection locked="0"/>
    </xf>
    <xf numFmtId="0" fontId="53" fillId="34" borderId="125" xfId="0" applyFont="1" applyFill="1" applyBorder="1" applyAlignment="1" applyProtection="1">
      <alignment horizontal="center" vertical="center"/>
      <protection locked="0"/>
    </xf>
    <xf numFmtId="0" fontId="53" fillId="34" borderId="29" xfId="0" applyFont="1" applyFill="1" applyBorder="1" applyAlignment="1" applyProtection="1">
      <alignment horizontal="center" vertical="center"/>
      <protection locked="0"/>
    </xf>
    <xf numFmtId="0" fontId="39" fillId="34" borderId="28" xfId="0" applyFont="1" applyFill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34" borderId="122" xfId="0" applyFill="1" applyBorder="1" applyAlignment="1" applyProtection="1">
      <alignment vertical="center"/>
      <protection locked="0"/>
    </xf>
    <xf numFmtId="0" fontId="0" fillId="34" borderId="22" xfId="0" applyFont="1" applyFill="1" applyBorder="1" applyAlignment="1" applyProtection="1">
      <alignment vertical="center"/>
      <protection locked="0"/>
    </xf>
    <xf numFmtId="0" fontId="0" fillId="34" borderId="123" xfId="0" applyFill="1" applyBorder="1" applyAlignment="1" applyProtection="1">
      <alignment vertical="center"/>
      <protection locked="0"/>
    </xf>
    <xf numFmtId="0" fontId="0" fillId="34" borderId="15" xfId="0" applyFont="1" applyFill="1" applyBorder="1" applyAlignment="1" applyProtection="1">
      <alignment vertical="center"/>
      <protection locked="0"/>
    </xf>
    <xf numFmtId="0" fontId="115" fillId="37" borderId="41" xfId="0" applyFont="1" applyFill="1" applyBorder="1" applyAlignment="1">
      <alignment horizontal="center" vertical="center"/>
    </xf>
    <xf numFmtId="0" fontId="55" fillId="37" borderId="126" xfId="0" applyFont="1" applyFill="1" applyBorder="1" applyAlignment="1">
      <alignment horizontal="right" vertical="center"/>
    </xf>
    <xf numFmtId="0" fontId="55" fillId="37" borderId="32" xfId="0" applyFont="1" applyFill="1" applyBorder="1" applyAlignment="1">
      <alignment horizontal="right" vertical="center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96" xfId="0" applyBorder="1" applyAlignment="1">
      <alignment horizontal="center" vertical="center" wrapText="1"/>
    </xf>
    <xf numFmtId="0" fontId="0" fillId="58" borderId="127" xfId="0" applyFill="1" applyBorder="1" applyAlignment="1">
      <alignment horizontal="center" vertical="center"/>
    </xf>
    <xf numFmtId="0" fontId="39" fillId="38" borderId="87" xfId="0" applyFont="1" applyFill="1" applyBorder="1" applyAlignment="1">
      <alignment vertical="center" wrapText="1"/>
    </xf>
    <xf numFmtId="0" fontId="0" fillId="0" borderId="128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129" xfId="0" applyBorder="1" applyAlignment="1">
      <alignment vertical="center"/>
    </xf>
    <xf numFmtId="0" fontId="0" fillId="38" borderId="128" xfId="0" applyFill="1" applyBorder="1" applyAlignment="1">
      <alignment vertical="center"/>
    </xf>
    <xf numFmtId="0" fontId="0" fillId="38" borderId="92" xfId="0" applyFill="1" applyBorder="1" applyAlignment="1">
      <alignment vertical="center"/>
    </xf>
    <xf numFmtId="0" fontId="0" fillId="38" borderId="95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4" fontId="0" fillId="0" borderId="0" xfId="0" applyNumberFormat="1" applyBorder="1" applyAlignment="1">
      <alignment vertical="center" wrapText="1"/>
    </xf>
    <xf numFmtId="0" fontId="0" fillId="0" borderId="0" xfId="0" applyFont="1" applyBorder="1" applyAlignment="1">
      <alignment horizontal="right" vertical="center"/>
    </xf>
    <xf numFmtId="0" fontId="49" fillId="0" borderId="94" xfId="0" applyFont="1" applyFill="1" applyBorder="1" applyAlignment="1">
      <alignment horizontal="center" vertical="center" wrapText="1"/>
    </xf>
    <xf numFmtId="0" fontId="0" fillId="0" borderId="130" xfId="0" applyFont="1" applyBorder="1" applyAlignment="1">
      <alignment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79" xfId="0" applyFont="1" applyBorder="1" applyAlignment="1">
      <alignment vertical="center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101" xfId="0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81" fillId="34" borderId="31" xfId="0" applyFont="1" applyFill="1" applyBorder="1" applyAlignment="1">
      <alignment horizontal="center" vertical="center"/>
    </xf>
    <xf numFmtId="0" fontId="0" fillId="34" borderId="6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4" borderId="71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7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wrapText="1"/>
    </xf>
    <xf numFmtId="0" fontId="107" fillId="0" borderId="33" xfId="0" applyFont="1" applyBorder="1" applyAlignment="1">
      <alignment horizontal="center" vertical="center"/>
    </xf>
    <xf numFmtId="0" fontId="116" fillId="0" borderId="0" xfId="0" applyFont="1" applyAlignment="1">
      <alignment vertical="center"/>
    </xf>
    <xf numFmtId="0" fontId="39" fillId="58" borderId="131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52" fillId="42" borderId="12" xfId="0" applyFont="1" applyFill="1" applyBorder="1" applyAlignment="1">
      <alignment horizontal="center" vertical="center" wrapText="1"/>
    </xf>
    <xf numFmtId="0" fontId="39" fillId="42" borderId="87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 wrapText="1"/>
    </xf>
    <xf numFmtId="0" fontId="39" fillId="42" borderId="132" xfId="0" applyFont="1" applyFill="1" applyBorder="1" applyAlignment="1">
      <alignment horizontal="center" vertical="center"/>
    </xf>
    <xf numFmtId="0" fontId="39" fillId="0" borderId="133" xfId="0" applyFont="1" applyFill="1" applyBorder="1" applyAlignment="1">
      <alignment horizontal="center" vertical="center"/>
    </xf>
    <xf numFmtId="0" fontId="39" fillId="42" borderId="133" xfId="0" applyFont="1" applyFill="1" applyBorder="1" applyAlignment="1">
      <alignment horizontal="center" vertical="center"/>
    </xf>
    <xf numFmtId="0" fontId="39" fillId="42" borderId="134" xfId="0" applyFont="1" applyFill="1" applyBorder="1" applyAlignment="1">
      <alignment horizontal="center" vertical="center"/>
    </xf>
    <xf numFmtId="0" fontId="57" fillId="37" borderId="34" xfId="0" applyFont="1" applyFill="1" applyBorder="1" applyAlignment="1">
      <alignment horizontal="center" vertical="center"/>
    </xf>
    <xf numFmtId="0" fontId="36" fillId="0" borderId="87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51" borderId="87" xfId="0" applyFont="1" applyFill="1" applyBorder="1" applyAlignment="1">
      <alignment horizontal="center" vertical="center"/>
    </xf>
    <xf numFmtId="0" fontId="0" fillId="60" borderId="87" xfId="0" applyFont="1" applyFill="1" applyBorder="1" applyAlignment="1">
      <alignment horizontal="center" vertical="center" wrapText="1"/>
    </xf>
    <xf numFmtId="0" fontId="76" fillId="33" borderId="0" xfId="0" applyFont="1" applyFill="1" applyAlignment="1">
      <alignment horizontal="left" vertical="center"/>
    </xf>
    <xf numFmtId="0" fontId="36" fillId="42" borderId="87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8" fillId="0" borderId="135" xfId="0" applyFont="1" applyFill="1" applyBorder="1" applyAlignment="1">
      <alignment horizontal="center" vertical="center"/>
    </xf>
    <xf numFmtId="0" fontId="39" fillId="0" borderId="136" xfId="0" applyFont="1" applyBorder="1" applyAlignment="1">
      <alignment horizontal="center" vertical="center"/>
    </xf>
    <xf numFmtId="0" fontId="0" fillId="0" borderId="0" xfId="0" applyAlignment="1" quotePrefix="1">
      <alignment horizontal="right" vertical="center"/>
    </xf>
    <xf numFmtId="0" fontId="111" fillId="0" borderId="0" xfId="0" applyFont="1" applyAlignment="1">
      <alignment vertical="center"/>
    </xf>
    <xf numFmtId="0" fontId="111" fillId="57" borderId="0" xfId="0" applyFont="1" applyFill="1" applyAlignment="1">
      <alignment vertical="center"/>
    </xf>
    <xf numFmtId="0" fontId="113" fillId="37" borderId="0" xfId="0" applyFont="1" applyFill="1" applyAlignment="1">
      <alignment vertical="center"/>
    </xf>
    <xf numFmtId="0" fontId="0" fillId="0" borderId="0" xfId="0" applyAlignment="1" quotePrefix="1">
      <alignment horizontal="right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right" vertical="center" wrapText="1"/>
    </xf>
    <xf numFmtId="0" fontId="0" fillId="0" borderId="0" xfId="0" applyAlignment="1" quotePrefix="1">
      <alignment horizontal="left" vertical="center"/>
    </xf>
    <xf numFmtId="0" fontId="0" fillId="0" borderId="137" xfId="0" applyBorder="1" applyAlignment="1">
      <alignment vertical="center"/>
    </xf>
    <xf numFmtId="0" fontId="0" fillId="0" borderId="137" xfId="0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 wrapText="1"/>
    </xf>
    <xf numFmtId="0" fontId="74" fillId="33" borderId="94" xfId="0" applyFont="1" applyFill="1" applyBorder="1" applyAlignment="1">
      <alignment horizontal="right" vertical="top" wrapText="1"/>
    </xf>
    <xf numFmtId="0" fontId="89" fillId="61" borderId="138" xfId="0" applyFont="1" applyFill="1" applyBorder="1" applyAlignment="1">
      <alignment vertical="center" wrapText="1"/>
    </xf>
    <xf numFmtId="0" fontId="44" fillId="43" borderId="13" xfId="0" applyFont="1" applyFill="1" applyBorder="1" applyAlignment="1">
      <alignment horizontal="center" vertical="center" wrapText="1"/>
    </xf>
    <xf numFmtId="0" fontId="69" fillId="39" borderId="0" xfId="0" applyFont="1" applyFill="1" applyBorder="1" applyAlignment="1">
      <alignment/>
    </xf>
    <xf numFmtId="0" fontId="43" fillId="39" borderId="0" xfId="0" applyFont="1" applyFill="1" applyBorder="1" applyAlignment="1">
      <alignment horizontal="right"/>
    </xf>
    <xf numFmtId="0" fontId="43" fillId="39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39" fillId="0" borderId="0" xfId="0" applyFont="1" applyAlignment="1" quotePrefix="1">
      <alignment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117" fillId="0" borderId="0" xfId="0" applyFont="1" applyAlignment="1">
      <alignment vertical="center"/>
    </xf>
    <xf numFmtId="0" fontId="11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47" borderId="78" xfId="0" applyFill="1" applyBorder="1" applyAlignment="1">
      <alignment vertical="center"/>
    </xf>
    <xf numFmtId="0" fontId="0" fillId="47" borderId="79" xfId="0" applyFill="1" applyBorder="1" applyAlignment="1">
      <alignment vertical="center"/>
    </xf>
    <xf numFmtId="0" fontId="0" fillId="47" borderId="80" xfId="0" applyFill="1" applyBorder="1" applyAlignment="1">
      <alignment vertical="center"/>
    </xf>
    <xf numFmtId="0" fontId="0" fillId="0" borderId="79" xfId="0" applyBorder="1" applyAlignment="1" quotePrefix="1">
      <alignment horizontal="center" vertical="center"/>
    </xf>
    <xf numFmtId="0" fontId="0" fillId="0" borderId="0" xfId="0" applyBorder="1" applyAlignment="1" quotePrefix="1">
      <alignment horizontal="left" vertical="center"/>
    </xf>
    <xf numFmtId="0" fontId="39" fillId="0" borderId="0" xfId="0" applyFont="1" applyBorder="1" applyAlignment="1" quotePrefix="1">
      <alignment horizontal="left" vertical="center"/>
    </xf>
    <xf numFmtId="0" fontId="76" fillId="0" borderId="0" xfId="0" applyFont="1" applyAlignment="1">
      <alignment horizontal="center" vertical="center"/>
    </xf>
    <xf numFmtId="0" fontId="118" fillId="0" borderId="0" xfId="0" applyFont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0" borderId="95" xfId="0" applyBorder="1" applyAlignment="1">
      <alignment horizontal="center" vertical="center"/>
    </xf>
    <xf numFmtId="0" fontId="39" fillId="0" borderId="95" xfId="0" applyFont="1" applyBorder="1" applyAlignment="1" quotePrefix="1">
      <alignment horizontal="center" vertical="center" wrapText="1"/>
    </xf>
    <xf numFmtId="0" fontId="118" fillId="0" borderId="137" xfId="0" applyFont="1" applyBorder="1" applyAlignment="1">
      <alignment horizontal="left" vertical="center"/>
    </xf>
    <xf numFmtId="0" fontId="117" fillId="0" borderId="137" xfId="0" applyFont="1" applyBorder="1" applyAlignment="1">
      <alignment vertical="center"/>
    </xf>
    <xf numFmtId="0" fontId="39" fillId="0" borderId="137" xfId="0" applyFont="1" applyBorder="1" applyAlignment="1" quotePrefix="1">
      <alignment vertical="center" wrapText="1"/>
    </xf>
    <xf numFmtId="0" fontId="0" fillId="0" borderId="137" xfId="0" applyBorder="1" applyAlignment="1">
      <alignment/>
    </xf>
    <xf numFmtId="0" fontId="36" fillId="0" borderId="137" xfId="0" applyFont="1" applyBorder="1" applyAlignment="1">
      <alignment vertical="center"/>
    </xf>
    <xf numFmtId="0" fontId="39" fillId="0" borderId="81" xfId="0" applyFont="1" applyBorder="1" applyAlignment="1" quotePrefix="1">
      <alignment vertical="center"/>
    </xf>
    <xf numFmtId="0" fontId="39" fillId="0" borderId="83" xfId="0" applyFont="1" applyBorder="1" applyAlignment="1">
      <alignment vertical="center"/>
    </xf>
    <xf numFmtId="0" fontId="39" fillId="0" borderId="139" xfId="0" applyFont="1" applyBorder="1" applyAlignment="1">
      <alignment horizontal="right" vertical="center" wrapText="1"/>
    </xf>
    <xf numFmtId="0" fontId="39" fillId="0" borderId="140" xfId="0" applyFont="1" applyBorder="1" applyAlignment="1">
      <alignment horizontal="right" vertical="center" wrapText="1"/>
    </xf>
    <xf numFmtId="0" fontId="39" fillId="0" borderId="131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1" xfId="0" applyFont="1" applyBorder="1" applyAlignment="1">
      <alignment horizontal="center" vertical="center" wrapText="1"/>
    </xf>
    <xf numFmtId="0" fontId="0" fillId="0" borderId="142" xfId="0" applyFont="1" applyBorder="1" applyAlignment="1">
      <alignment horizontal="center" vertical="center" wrapText="1"/>
    </xf>
    <xf numFmtId="0" fontId="0" fillId="0" borderId="143" xfId="0" applyFont="1" applyBorder="1" applyAlignment="1">
      <alignment horizontal="center" vertical="center"/>
    </xf>
    <xf numFmtId="0" fontId="0" fillId="0" borderId="144" xfId="0" applyFont="1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14" fontId="0" fillId="0" borderId="86" xfId="0" applyNumberFormat="1" applyBorder="1" applyAlignment="1">
      <alignment vertical="center" wrapText="1"/>
    </xf>
    <xf numFmtId="0" fontId="0" fillId="0" borderId="81" xfId="0" applyFont="1" applyBorder="1" applyAlignment="1">
      <alignment vertical="center"/>
    </xf>
    <xf numFmtId="0" fontId="0" fillId="60" borderId="78" xfId="0" applyFill="1" applyBorder="1" applyAlignment="1">
      <alignment horizontal="center" vertical="center"/>
    </xf>
    <xf numFmtId="0" fontId="0" fillId="60" borderId="79" xfId="0" applyFill="1" applyBorder="1" applyAlignment="1">
      <alignment horizontal="center" vertical="center"/>
    </xf>
    <xf numFmtId="0" fontId="0" fillId="60" borderId="80" xfId="0" applyFill="1" applyBorder="1" applyAlignment="1">
      <alignment horizontal="center" vertical="center"/>
    </xf>
    <xf numFmtId="0" fontId="52" fillId="33" borderId="35" xfId="0" applyFont="1" applyFill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center"/>
    </xf>
    <xf numFmtId="0" fontId="39" fillId="48" borderId="18" xfId="0" applyFont="1" applyFill="1" applyBorder="1" applyAlignment="1">
      <alignment horizontal="center" vertical="center"/>
    </xf>
    <xf numFmtId="0" fontId="49" fillId="0" borderId="65" xfId="0" applyFont="1" applyFill="1" applyBorder="1" applyAlignment="1">
      <alignment horizontal="center" vertical="center" wrapText="1"/>
    </xf>
    <xf numFmtId="0" fontId="48" fillId="0" borderId="78" xfId="0" applyFont="1" applyFill="1" applyBorder="1" applyAlignment="1">
      <alignment horizontal="center" vertical="center"/>
    </xf>
    <xf numFmtId="0" fontId="48" fillId="0" borderId="79" xfId="0" applyFont="1" applyFill="1" applyBorder="1" applyAlignment="1">
      <alignment horizontal="center" vertical="center"/>
    </xf>
    <xf numFmtId="0" fontId="48" fillId="48" borderId="79" xfId="0" applyFont="1" applyFill="1" applyBorder="1" applyAlignment="1">
      <alignment horizontal="center" vertical="center"/>
    </xf>
    <xf numFmtId="0" fontId="39" fillId="42" borderId="147" xfId="0" applyFont="1" applyFill="1" applyBorder="1" applyAlignment="1">
      <alignment horizontal="center" vertical="center"/>
    </xf>
    <xf numFmtId="0" fontId="74" fillId="38" borderId="94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137" xfId="0" applyBorder="1" applyAlignment="1">
      <alignment/>
    </xf>
    <xf numFmtId="0" fontId="36" fillId="0" borderId="137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15" fillId="33" borderId="92" xfId="42" applyNumberForma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39" fillId="51" borderId="0" xfId="0" applyFont="1" applyFill="1" applyBorder="1" applyAlignment="1">
      <alignment horizontal="center" vertical="center"/>
    </xf>
    <xf numFmtId="0" fontId="39" fillId="48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69" fillId="62" borderId="56" xfId="0" applyFont="1" applyFill="1" applyBorder="1" applyAlignment="1">
      <alignment/>
    </xf>
    <xf numFmtId="0" fontId="105" fillId="33" borderId="94" xfId="0" applyFont="1" applyFill="1" applyBorder="1" applyAlignment="1">
      <alignment horizontal="right" vertical="center" wrapText="1"/>
    </xf>
    <xf numFmtId="0" fontId="62" fillId="33" borderId="18" xfId="0" applyFont="1" applyFill="1" applyBorder="1" applyAlignment="1">
      <alignment horizontal="right" vertical="center" wrapText="1"/>
    </xf>
    <xf numFmtId="0" fontId="0" fillId="63" borderId="79" xfId="0" applyFill="1" applyBorder="1" applyAlignment="1">
      <alignment horizontal="center" vertical="center"/>
    </xf>
    <xf numFmtId="0" fontId="0" fillId="0" borderId="0" xfId="0" applyAlignment="1">
      <alignment horizontal="right"/>
    </xf>
    <xf numFmtId="16" fontId="3" fillId="33" borderId="14" xfId="0" applyNumberFormat="1" applyFont="1" applyFill="1" applyBorder="1" applyAlignment="1">
      <alignment horizontal="center" vertical="center" wrapText="1"/>
    </xf>
    <xf numFmtId="16" fontId="3" fillId="0" borderId="14" xfId="0" applyNumberFormat="1" applyFont="1" applyFill="1" applyBorder="1" applyAlignment="1">
      <alignment horizontal="center" vertical="center" wrapText="1"/>
    </xf>
    <xf numFmtId="0" fontId="39" fillId="38" borderId="12" xfId="0" applyFont="1" applyFill="1" applyBorder="1" applyAlignment="1">
      <alignment horizontal="center" vertical="center" wrapText="1"/>
    </xf>
    <xf numFmtId="0" fontId="119" fillId="33" borderId="10" xfId="0" applyFont="1" applyFill="1" applyBorder="1" applyAlignment="1">
      <alignment horizontal="right" vertical="center" wrapText="1"/>
    </xf>
    <xf numFmtId="0" fontId="119" fillId="33" borderId="15" xfId="0" applyFont="1" applyFill="1" applyBorder="1" applyAlignment="1">
      <alignment horizontal="left" vertical="center" wrapText="1"/>
    </xf>
    <xf numFmtId="0" fontId="119" fillId="37" borderId="10" xfId="0" applyFont="1" applyFill="1" applyBorder="1" applyAlignment="1">
      <alignment horizontal="right" vertical="center" wrapText="1"/>
    </xf>
    <xf numFmtId="0" fontId="119" fillId="37" borderId="15" xfId="0" applyFont="1" applyFill="1" applyBorder="1" applyAlignment="1">
      <alignment horizontal="left" vertical="center" wrapText="1"/>
    </xf>
    <xf numFmtId="0" fontId="121" fillId="34" borderId="13" xfId="0" applyFont="1" applyFill="1" applyBorder="1" applyAlignment="1">
      <alignment horizontal="center" vertical="center" wrapText="1"/>
    </xf>
    <xf numFmtId="0" fontId="119" fillId="0" borderId="12" xfId="0" applyFont="1" applyBorder="1" applyAlignment="1">
      <alignment horizontal="center" vertical="center"/>
    </xf>
    <xf numFmtId="0" fontId="121" fillId="37" borderId="13" xfId="0" applyFont="1" applyFill="1" applyBorder="1" applyAlignment="1">
      <alignment horizontal="center" vertical="center" wrapText="1"/>
    </xf>
    <xf numFmtId="0" fontId="119" fillId="37" borderId="12" xfId="0" applyFont="1" applyFill="1" applyBorder="1" applyAlignment="1">
      <alignment horizontal="center" vertical="center"/>
    </xf>
    <xf numFmtId="0" fontId="124" fillId="34" borderId="33" xfId="0" applyFont="1" applyFill="1" applyBorder="1" applyAlignment="1">
      <alignment horizontal="center" vertical="center"/>
    </xf>
    <xf numFmtId="0" fontId="124" fillId="34" borderId="62" xfId="0" applyFont="1" applyFill="1" applyBorder="1" applyAlignment="1">
      <alignment horizontal="center" vertical="center"/>
    </xf>
    <xf numFmtId="0" fontId="125" fillId="64" borderId="94" xfId="0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36" fillId="0" borderId="124" xfId="0" applyFont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48" borderId="18" xfId="0" applyFont="1" applyFill="1" applyBorder="1" applyAlignment="1">
      <alignment horizontal="center" vertical="center"/>
    </xf>
    <xf numFmtId="0" fontId="36" fillId="38" borderId="88" xfId="0" applyFont="1" applyFill="1" applyBorder="1" applyAlignment="1">
      <alignment horizontal="center" vertical="center" wrapText="1"/>
    </xf>
    <xf numFmtId="0" fontId="36" fillId="38" borderId="65" xfId="0" applyFont="1" applyFill="1" applyBorder="1" applyAlignment="1">
      <alignment horizontal="center" vertical="center" wrapText="1"/>
    </xf>
    <xf numFmtId="0" fontId="127" fillId="0" borderId="0" xfId="0" applyFont="1" applyFill="1" applyBorder="1" applyAlignment="1">
      <alignment vertical="center" wrapText="1"/>
    </xf>
    <xf numFmtId="0" fontId="39" fillId="65" borderId="101" xfId="0" applyFont="1" applyFill="1" applyBorder="1" applyAlignment="1" quotePrefix="1">
      <alignment vertical="center" wrapText="1"/>
    </xf>
    <xf numFmtId="0" fontId="0" fillId="0" borderId="82" xfId="0" applyFont="1" applyBorder="1" applyAlignment="1">
      <alignment vertical="center"/>
    </xf>
    <xf numFmtId="0" fontId="0" fillId="60" borderId="0" xfId="0" applyFill="1" applyBorder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105" fillId="33" borderId="86" xfId="0" applyFont="1" applyFill="1" applyBorder="1" applyAlignment="1">
      <alignment horizontal="right" vertical="center" wrapText="1"/>
    </xf>
    <xf numFmtId="0" fontId="34" fillId="66" borderId="0" xfId="0" applyFont="1" applyFill="1" applyBorder="1" applyAlignment="1">
      <alignment horizontal="center" vertical="center"/>
    </xf>
    <xf numFmtId="0" fontId="48" fillId="0" borderId="96" xfId="0" applyFont="1" applyFill="1" applyBorder="1" applyAlignment="1">
      <alignment horizontal="center" vertical="center"/>
    </xf>
    <xf numFmtId="0" fontId="15" fillId="33" borderId="148" xfId="42" applyNumberFormat="1" applyFill="1" applyBorder="1" applyAlignment="1" applyProtection="1">
      <alignment horizontal="center" vertical="center" wrapText="1"/>
      <protection/>
    </xf>
    <xf numFmtId="0" fontId="89" fillId="33" borderId="149" xfId="0" applyFont="1" applyFill="1" applyBorder="1" applyAlignment="1">
      <alignment horizontal="center" vertical="center" wrapText="1"/>
    </xf>
    <xf numFmtId="0" fontId="0" fillId="33" borderId="137" xfId="0" applyFill="1" applyBorder="1" applyAlignment="1">
      <alignment/>
    </xf>
    <xf numFmtId="0" fontId="38" fillId="33" borderId="150" xfId="0" applyFont="1" applyFill="1" applyBorder="1" applyAlignment="1">
      <alignment horizontal="center" vertical="center" wrapText="1"/>
    </xf>
    <xf numFmtId="0" fontId="54" fillId="38" borderId="150" xfId="0" applyFont="1" applyFill="1" applyBorder="1" applyAlignment="1">
      <alignment horizontal="center" vertical="center" wrapText="1"/>
    </xf>
    <xf numFmtId="0" fontId="39" fillId="33" borderId="150" xfId="0" applyFont="1" applyFill="1" applyBorder="1" applyAlignment="1">
      <alignment horizontal="center" vertical="center" wrapText="1"/>
    </xf>
    <xf numFmtId="0" fontId="36" fillId="38" borderId="150" xfId="0" applyFont="1" applyFill="1" applyBorder="1" applyAlignment="1">
      <alignment horizontal="center" vertical="center" wrapText="1"/>
    </xf>
    <xf numFmtId="0" fontId="0" fillId="33" borderId="151" xfId="0" applyFill="1" applyBorder="1" applyAlignment="1">
      <alignment/>
    </xf>
    <xf numFmtId="0" fontId="174" fillId="33" borderId="94" xfId="0" applyFont="1" applyFill="1" applyBorder="1" applyAlignment="1">
      <alignment horizontal="right" vertical="center" wrapText="1"/>
    </xf>
    <xf numFmtId="0" fontId="36" fillId="67" borderId="15" xfId="0" applyFont="1" applyFill="1" applyBorder="1" applyAlignment="1">
      <alignment horizontal="center" vertical="center"/>
    </xf>
    <xf numFmtId="0" fontId="34" fillId="16" borderId="94" xfId="0" applyFont="1" applyFill="1" applyBorder="1" applyAlignment="1">
      <alignment horizontal="center" vertical="center"/>
    </xf>
    <xf numFmtId="0" fontId="39" fillId="0" borderId="94" xfId="0" applyFont="1" applyBorder="1" applyAlignment="1">
      <alignment horizontal="right" wrapText="1"/>
    </xf>
    <xf numFmtId="0" fontId="34" fillId="31" borderId="94" xfId="0" applyFont="1" applyFill="1" applyBorder="1" applyAlignment="1">
      <alignment horizontal="center" vertical="center"/>
    </xf>
    <xf numFmtId="0" fontId="131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175" fillId="68" borderId="0" xfId="0" applyFont="1" applyFill="1" applyBorder="1" applyAlignment="1">
      <alignment horizontal="right" vertical="center"/>
    </xf>
    <xf numFmtId="0" fontId="176" fillId="69" borderId="0" xfId="0" applyFont="1" applyFill="1" applyBorder="1" applyAlignment="1">
      <alignment horizontal="center" vertical="center"/>
    </xf>
    <xf numFmtId="0" fontId="175" fillId="68" borderId="52" xfId="0" applyFont="1" applyFill="1" applyBorder="1" applyAlignment="1">
      <alignment horizontal="right" vertical="center"/>
    </xf>
    <xf numFmtId="0" fontId="50" fillId="41" borderId="152" xfId="0" applyFont="1" applyFill="1" applyBorder="1" applyAlignment="1">
      <alignment horizontal="right"/>
    </xf>
    <xf numFmtId="0" fontId="50" fillId="41" borderId="0" xfId="0" applyFont="1" applyFill="1" applyBorder="1" applyAlignment="1">
      <alignment horizontal="right" vertical="center"/>
    </xf>
    <xf numFmtId="0" fontId="177" fillId="0" borderId="0" xfId="0" applyFont="1" applyAlignment="1">
      <alignment/>
    </xf>
    <xf numFmtId="0" fontId="39" fillId="38" borderId="94" xfId="0" applyFont="1" applyFill="1" applyBorder="1" applyAlignment="1">
      <alignment horizontal="center" vertical="center" wrapText="1"/>
    </xf>
    <xf numFmtId="0" fontId="39" fillId="38" borderId="80" xfId="0" applyFont="1" applyFill="1" applyBorder="1" applyAlignment="1">
      <alignment horizontal="center" vertical="center" wrapText="1"/>
    </xf>
    <xf numFmtId="0" fontId="34" fillId="55" borderId="15" xfId="0" applyFont="1" applyFill="1" applyBorder="1" applyAlignment="1">
      <alignment horizontal="center" vertical="center" wrapText="1"/>
    </xf>
    <xf numFmtId="0" fontId="0" fillId="0" borderId="131" xfId="0" applyBorder="1" applyAlignment="1">
      <alignment vertical="center"/>
    </xf>
    <xf numFmtId="0" fontId="0" fillId="0" borderId="87" xfId="0" applyBorder="1" applyAlignment="1">
      <alignment horizontal="center" vertical="center"/>
    </xf>
    <xf numFmtId="0" fontId="178" fillId="33" borderId="94" xfId="0" applyFont="1" applyFill="1" applyBorder="1" applyAlignment="1">
      <alignment horizontal="right" vertical="center" wrapText="1"/>
    </xf>
    <xf numFmtId="0" fontId="36" fillId="70" borderId="15" xfId="0" applyFont="1" applyFill="1" applyBorder="1" applyAlignment="1">
      <alignment horizontal="center" vertical="center"/>
    </xf>
    <xf numFmtId="0" fontId="45" fillId="66" borderId="153" xfId="0" applyFont="1" applyFill="1" applyBorder="1" applyAlignment="1">
      <alignment vertical="center" wrapText="1"/>
    </xf>
    <xf numFmtId="0" fontId="0" fillId="0" borderId="154" xfId="0" applyBorder="1" applyAlignment="1">
      <alignment/>
    </xf>
    <xf numFmtId="0" fontId="0" fillId="0" borderId="155" xfId="0" applyBorder="1" applyAlignment="1">
      <alignment/>
    </xf>
    <xf numFmtId="0" fontId="0" fillId="0" borderId="156" xfId="0" applyBorder="1" applyAlignment="1">
      <alignment/>
    </xf>
    <xf numFmtId="0" fontId="0" fillId="0" borderId="157" xfId="0" applyBorder="1" applyAlignment="1">
      <alignment/>
    </xf>
    <xf numFmtId="0" fontId="0" fillId="0" borderId="158" xfId="0" applyBorder="1" applyAlignment="1">
      <alignment/>
    </xf>
    <xf numFmtId="0" fontId="40" fillId="0" borderId="158" xfId="0" applyFont="1" applyBorder="1" applyAlignment="1">
      <alignment vertical="center"/>
    </xf>
    <xf numFmtId="0" fontId="0" fillId="0" borderId="159" xfId="0" applyBorder="1" applyAlignment="1">
      <alignment/>
    </xf>
    <xf numFmtId="0" fontId="0" fillId="0" borderId="160" xfId="0" applyBorder="1" applyAlignment="1">
      <alignment/>
    </xf>
    <xf numFmtId="0" fontId="0" fillId="0" borderId="161" xfId="0" applyBorder="1" applyAlignment="1">
      <alignment/>
    </xf>
    <xf numFmtId="0" fontId="40" fillId="0" borderId="158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37" xfId="0" applyFont="1" applyBorder="1" applyAlignment="1">
      <alignment/>
    </xf>
    <xf numFmtId="49" fontId="11" fillId="34" borderId="13" xfId="0" applyNumberFormat="1" applyFont="1" applyFill="1" applyBorder="1" applyAlignment="1">
      <alignment horizontal="center" vertical="center" wrapText="1"/>
    </xf>
    <xf numFmtId="49" fontId="11" fillId="34" borderId="14" xfId="0" applyNumberFormat="1" applyFont="1" applyFill="1" applyBorder="1" applyAlignment="1">
      <alignment horizontal="center" vertical="center" wrapText="1"/>
    </xf>
    <xf numFmtId="0" fontId="15" fillId="0" borderId="0" xfId="42" applyAlignment="1">
      <alignment/>
    </xf>
    <xf numFmtId="0" fontId="53" fillId="33" borderId="92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16" fontId="3" fillId="33" borderId="18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8" fillId="0" borderId="81" xfId="0" applyFont="1" applyBorder="1" applyAlignment="1">
      <alignment vertical="center"/>
    </xf>
    <xf numFmtId="0" fontId="0" fillId="0" borderId="92" xfId="0" applyBorder="1" applyAlignment="1">
      <alignment vertical="center" wrapText="1"/>
    </xf>
    <xf numFmtId="0" fontId="0" fillId="0" borderId="92" xfId="0" applyBorder="1" applyAlignment="1">
      <alignment horizontal="center" vertical="center"/>
    </xf>
    <xf numFmtId="0" fontId="28" fillId="0" borderId="83" xfId="0" applyFont="1" applyBorder="1" applyAlignment="1">
      <alignment vertical="center"/>
    </xf>
    <xf numFmtId="0" fontId="0" fillId="0" borderId="108" xfId="0" applyBorder="1" applyAlignment="1">
      <alignment vertical="top"/>
    </xf>
    <xf numFmtId="0" fontId="0" fillId="0" borderId="108" xfId="0" applyBorder="1" applyAlignment="1">
      <alignment vertical="center"/>
    </xf>
    <xf numFmtId="0" fontId="0" fillId="0" borderId="108" xfId="0" applyBorder="1" applyAlignment="1">
      <alignment vertical="center" wrapText="1"/>
    </xf>
    <xf numFmtId="0" fontId="38" fillId="0" borderId="69" xfId="0" applyFont="1" applyBorder="1" applyAlignment="1" applyProtection="1">
      <alignment horizontal="center" vertical="center"/>
      <protection locked="0"/>
    </xf>
    <xf numFmtId="0" fontId="38" fillId="0" borderId="162" xfId="0" applyFont="1" applyBorder="1" applyAlignment="1" applyProtection="1">
      <alignment horizontal="center" vertical="center"/>
      <protection locked="0"/>
    </xf>
    <xf numFmtId="0" fontId="38" fillId="0" borderId="76" xfId="0" applyFont="1" applyBorder="1" applyAlignment="1" applyProtection="1">
      <alignment horizontal="center" vertical="center"/>
      <protection locked="0"/>
    </xf>
    <xf numFmtId="0" fontId="81" fillId="34" borderId="154" xfId="0" applyNumberFormat="1" applyFont="1" applyFill="1" applyBorder="1" applyAlignment="1" applyProtection="1">
      <alignment vertical="center"/>
      <protection locked="0"/>
    </xf>
    <xf numFmtId="0" fontId="81" fillId="34" borderId="154" xfId="0" applyFont="1" applyFill="1" applyBorder="1" applyAlignment="1" applyProtection="1">
      <alignment vertical="center"/>
      <protection locked="0"/>
    </xf>
    <xf numFmtId="0" fontId="53" fillId="34" borderId="154" xfId="0" applyFont="1" applyFill="1" applyBorder="1" applyAlignment="1" applyProtection="1">
      <alignment vertical="center"/>
      <protection locked="0"/>
    </xf>
    <xf numFmtId="0" fontId="53" fillId="34" borderId="71" xfId="0" applyFont="1" applyFill="1" applyBorder="1" applyAlignment="1" applyProtection="1" quotePrefix="1">
      <alignment horizontal="center" vertical="center"/>
      <protection locked="0"/>
    </xf>
    <xf numFmtId="2" fontId="0" fillId="0" borderId="0" xfId="0" applyNumberFormat="1" applyAlignment="1" applyProtection="1">
      <alignment/>
      <protection locked="0"/>
    </xf>
    <xf numFmtId="0" fontId="43" fillId="39" borderId="163" xfId="0" applyFont="1" applyFill="1" applyBorder="1" applyAlignment="1">
      <alignment horizontal="right"/>
    </xf>
    <xf numFmtId="0" fontId="43" fillId="39" borderId="164" xfId="0" applyFont="1" applyFill="1" applyBorder="1" applyAlignment="1">
      <alignment horizontal="right"/>
    </xf>
    <xf numFmtId="0" fontId="43" fillId="39" borderId="164" xfId="0" applyFont="1" applyFill="1" applyBorder="1" applyAlignment="1">
      <alignment horizontal="left"/>
    </xf>
    <xf numFmtId="0" fontId="43" fillId="39" borderId="165" xfId="0" applyFont="1" applyFill="1" applyBorder="1" applyAlignment="1">
      <alignment horizontal="left"/>
    </xf>
    <xf numFmtId="0" fontId="81" fillId="0" borderId="156" xfId="0" applyFont="1" applyBorder="1" applyAlignment="1">
      <alignment vertical="center"/>
    </xf>
    <xf numFmtId="0" fontId="0" fillId="0" borderId="157" xfId="0" applyBorder="1" applyAlignment="1">
      <alignment vertical="center"/>
    </xf>
    <xf numFmtId="0" fontId="0" fillId="37" borderId="158" xfId="0" applyFill="1" applyBorder="1" applyAlignment="1">
      <alignment vertical="center"/>
    </xf>
    <xf numFmtId="0" fontId="57" fillId="37" borderId="0" xfId="0" applyFont="1" applyFill="1" applyBorder="1" applyAlignment="1">
      <alignment horizontal="right"/>
    </xf>
    <xf numFmtId="0" fontId="57" fillId="37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0" fillId="37" borderId="158" xfId="0" applyFont="1" applyFill="1" applyBorder="1" applyAlignment="1">
      <alignment/>
    </xf>
    <xf numFmtId="0" fontId="177" fillId="0" borderId="0" xfId="0" applyFont="1" applyBorder="1" applyAlignment="1">
      <alignment/>
    </xf>
    <xf numFmtId="0" fontId="179" fillId="0" borderId="0" xfId="0" applyFont="1" applyBorder="1" applyAlignment="1">
      <alignment/>
    </xf>
    <xf numFmtId="0" fontId="179" fillId="0" borderId="0" xfId="0" applyFont="1" applyFill="1" applyBorder="1" applyAlignment="1">
      <alignment/>
    </xf>
    <xf numFmtId="0" fontId="179" fillId="0" borderId="0" xfId="0" applyFont="1" applyBorder="1" applyAlignment="1">
      <alignment vertical="center"/>
    </xf>
    <xf numFmtId="0" fontId="0" fillId="37" borderId="159" xfId="0" applyFont="1" applyFill="1" applyBorder="1" applyAlignment="1">
      <alignment/>
    </xf>
    <xf numFmtId="0" fontId="50" fillId="41" borderId="166" xfId="0" applyFont="1" applyFill="1" applyBorder="1" applyAlignment="1">
      <alignment horizontal="right" vertical="center"/>
    </xf>
    <xf numFmtId="0" fontId="38" fillId="0" borderId="160" xfId="0" applyFont="1" applyBorder="1" applyAlignment="1">
      <alignment/>
    </xf>
    <xf numFmtId="0" fontId="0" fillId="0" borderId="160" xfId="0" applyFont="1" applyBorder="1" applyAlignment="1">
      <alignment/>
    </xf>
    <xf numFmtId="0" fontId="0" fillId="0" borderId="160" xfId="0" applyFont="1" applyFill="1" applyBorder="1" applyAlignment="1">
      <alignment/>
    </xf>
    <xf numFmtId="0" fontId="0" fillId="0" borderId="160" xfId="0" applyBorder="1" applyAlignment="1">
      <alignment vertical="center"/>
    </xf>
    <xf numFmtId="0" fontId="0" fillId="38" borderId="87" xfId="0" applyFill="1" applyBorder="1" applyAlignment="1">
      <alignment vertical="center"/>
    </xf>
    <xf numFmtId="0" fontId="125" fillId="71" borderId="0" xfId="0" applyFont="1" applyFill="1" applyBorder="1" applyAlignment="1">
      <alignment horizontal="center" vertical="center"/>
    </xf>
    <xf numFmtId="0" fontId="69" fillId="39" borderId="155" xfId="0" applyFont="1" applyFill="1" applyBorder="1" applyAlignment="1">
      <alignment/>
    </xf>
    <xf numFmtId="0" fontId="43" fillId="39" borderId="156" xfId="0" applyFont="1" applyFill="1" applyBorder="1" applyAlignment="1">
      <alignment horizontal="right"/>
    </xf>
    <xf numFmtId="0" fontId="43" fillId="39" borderId="167" xfId="0" applyFont="1" applyFill="1" applyBorder="1" applyAlignment="1">
      <alignment horizontal="left"/>
    </xf>
    <xf numFmtId="0" fontId="43" fillId="39" borderId="168" xfId="0" applyFont="1" applyFill="1" applyBorder="1" applyAlignment="1">
      <alignment horizontal="left"/>
    </xf>
    <xf numFmtId="0" fontId="43" fillId="39" borderId="169" xfId="0" applyFont="1" applyFill="1" applyBorder="1" applyAlignment="1">
      <alignment horizontal="left"/>
    </xf>
    <xf numFmtId="0" fontId="0" fillId="37" borderId="170" xfId="0" applyFill="1" applyBorder="1" applyAlignment="1">
      <alignment/>
    </xf>
    <xf numFmtId="0" fontId="38" fillId="38" borderId="150" xfId="0" applyFont="1" applyFill="1" applyBorder="1" applyAlignment="1">
      <alignment horizontal="left" vertical="center" wrapText="1"/>
    </xf>
    <xf numFmtId="0" fontId="0" fillId="37" borderId="171" xfId="0" applyFill="1" applyBorder="1" applyAlignment="1">
      <alignment/>
    </xf>
    <xf numFmtId="0" fontId="39" fillId="0" borderId="0" xfId="0" applyFont="1" applyBorder="1" applyAlignment="1">
      <alignment/>
    </xf>
    <xf numFmtId="0" fontId="15" fillId="33" borderId="172" xfId="42" applyNumberFormat="1" applyFill="1" applyBorder="1" applyAlignment="1" applyProtection="1">
      <alignment horizontal="center" vertical="center" wrapText="1"/>
      <protection/>
    </xf>
    <xf numFmtId="0" fontId="89" fillId="33" borderId="137" xfId="0" applyFont="1" applyFill="1" applyBorder="1" applyAlignment="1">
      <alignment horizontal="center" vertical="top" wrapText="1"/>
    </xf>
    <xf numFmtId="0" fontId="44" fillId="37" borderId="170" xfId="0" applyFont="1" applyFill="1" applyBorder="1" applyAlignment="1">
      <alignment/>
    </xf>
    <xf numFmtId="0" fontId="39" fillId="58" borderId="0" xfId="0" applyFont="1" applyFill="1" applyBorder="1" applyAlignment="1">
      <alignment/>
    </xf>
    <xf numFmtId="0" fontId="0" fillId="58" borderId="0" xfId="0" applyFill="1" applyBorder="1" applyAlignment="1">
      <alignment/>
    </xf>
    <xf numFmtId="0" fontId="43" fillId="39" borderId="148" xfId="0" applyFont="1" applyFill="1" applyBorder="1" applyAlignment="1">
      <alignment horizontal="left"/>
    </xf>
    <xf numFmtId="0" fontId="43" fillId="39" borderId="137" xfId="0" applyFont="1" applyFill="1" applyBorder="1" applyAlignment="1">
      <alignment horizontal="left"/>
    </xf>
    <xf numFmtId="0" fontId="43" fillId="39" borderId="149" xfId="0" applyFont="1" applyFill="1" applyBorder="1" applyAlignment="1">
      <alignment horizontal="left"/>
    </xf>
    <xf numFmtId="0" fontId="180" fillId="72" borderId="158" xfId="0" applyFont="1" applyFill="1" applyBorder="1" applyAlignment="1">
      <alignment/>
    </xf>
    <xf numFmtId="0" fontId="181" fillId="0" borderId="0" xfId="0" applyFont="1" applyBorder="1" applyAlignment="1">
      <alignment/>
    </xf>
    <xf numFmtId="49" fontId="70" fillId="37" borderId="170" xfId="0" applyNumberFormat="1" applyFont="1" applyFill="1" applyBorder="1" applyAlignment="1">
      <alignment horizontal="center" wrapText="1"/>
    </xf>
    <xf numFmtId="0" fontId="71" fillId="37" borderId="158" xfId="0" applyFont="1" applyFill="1" applyBorder="1" applyAlignment="1">
      <alignment horizontal="center" vertical="center" wrapText="1"/>
    </xf>
    <xf numFmtId="0" fontId="0" fillId="73" borderId="158" xfId="0" applyFill="1" applyBorder="1" applyAlignment="1">
      <alignment vertical="center"/>
    </xf>
    <xf numFmtId="0" fontId="0" fillId="73" borderId="159" xfId="0" applyFill="1" applyBorder="1" applyAlignment="1">
      <alignment vertical="center"/>
    </xf>
    <xf numFmtId="0" fontId="100" fillId="50" borderId="160" xfId="0" applyFont="1" applyFill="1" applyBorder="1" applyAlignment="1">
      <alignment horizontal="right" vertical="center"/>
    </xf>
    <xf numFmtId="0" fontId="99" fillId="49" borderId="160" xfId="0" applyFont="1" applyFill="1" applyBorder="1" applyAlignment="1">
      <alignment horizontal="center" vertical="center"/>
    </xf>
    <xf numFmtId="0" fontId="46" fillId="0" borderId="160" xfId="0" applyFont="1" applyBorder="1" applyAlignment="1">
      <alignment/>
    </xf>
    <xf numFmtId="0" fontId="36" fillId="0" borderId="20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173" xfId="0" applyFont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 wrapText="1"/>
    </xf>
    <xf numFmtId="0" fontId="127" fillId="0" borderId="0" xfId="0" applyFont="1" applyAlignment="1">
      <alignment/>
    </xf>
    <xf numFmtId="0" fontId="0" fillId="0" borderId="94" xfId="0" applyBorder="1" applyAlignment="1">
      <alignment vertical="center"/>
    </xf>
    <xf numFmtId="0" fontId="38" fillId="33" borderId="151" xfId="0" applyFont="1" applyFill="1" applyBorder="1" applyAlignment="1">
      <alignment horizontal="center" vertical="center" wrapText="1"/>
    </xf>
    <xf numFmtId="0" fontId="182" fillId="0" borderId="0" xfId="0" applyFont="1" applyAlignment="1">
      <alignment vertical="center"/>
    </xf>
    <xf numFmtId="0" fontId="53" fillId="34" borderId="154" xfId="0" applyFont="1" applyFill="1" applyBorder="1" applyAlignment="1" applyProtection="1" quotePrefix="1">
      <alignment horizontal="center" vertical="center"/>
      <protection locked="0"/>
    </xf>
    <xf numFmtId="0" fontId="9" fillId="33" borderId="22" xfId="0" applyFont="1" applyFill="1" applyBorder="1" applyAlignment="1">
      <alignment horizontal="center" vertical="center" wrapText="1"/>
    </xf>
    <xf numFmtId="0" fontId="9" fillId="33" borderId="65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5" fillId="48" borderId="10" xfId="0" applyFont="1" applyFill="1" applyBorder="1" applyAlignment="1">
      <alignment horizontal="center" vertical="center" wrapText="1"/>
    </xf>
    <xf numFmtId="0" fontId="5" fillId="48" borderId="2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48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5" fillId="48" borderId="12" xfId="0" applyFont="1" applyFill="1" applyBorder="1" applyAlignment="1">
      <alignment horizontal="center" vertical="center" wrapText="1"/>
    </xf>
    <xf numFmtId="0" fontId="5" fillId="48" borderId="11" xfId="0" applyFont="1" applyFill="1" applyBorder="1" applyAlignment="1">
      <alignment horizontal="center" vertical="center" wrapText="1"/>
    </xf>
    <xf numFmtId="0" fontId="24" fillId="48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24" fillId="48" borderId="12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2" fillId="48" borderId="174" xfId="0" applyFont="1" applyFill="1" applyBorder="1" applyAlignment="1">
      <alignment horizontal="center" vertical="center" wrapText="1"/>
    </xf>
    <xf numFmtId="0" fontId="35" fillId="0" borderId="0" xfId="42" applyNumberFormat="1" applyFont="1" applyFill="1" applyBorder="1" applyAlignment="1" applyProtection="1">
      <alignment vertical="center"/>
      <protection/>
    </xf>
    <xf numFmtId="0" fontId="32" fillId="48" borderId="17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124" fillId="0" borderId="0" xfId="0" applyFont="1" applyBorder="1" applyAlignment="1">
      <alignment horizontal="center" vertical="center" wrapText="1"/>
    </xf>
    <xf numFmtId="0" fontId="124" fillId="0" borderId="0" xfId="0" applyFont="1" applyBorder="1" applyAlignment="1">
      <alignment horizontal="center" vertical="center"/>
    </xf>
    <xf numFmtId="0" fontId="39" fillId="42" borderId="86" xfId="0" applyFont="1" applyFill="1" applyBorder="1" applyAlignment="1">
      <alignment horizontal="right" vertical="center" wrapText="1"/>
    </xf>
    <xf numFmtId="0" fontId="0" fillId="0" borderId="146" xfId="0" applyBorder="1" applyAlignment="1">
      <alignment vertical="center" wrapText="1"/>
    </xf>
    <xf numFmtId="0" fontId="39" fillId="0" borderId="86" xfId="0" applyFont="1" applyBorder="1" applyAlignment="1">
      <alignment horizontal="right" vertical="center" wrapText="1"/>
    </xf>
    <xf numFmtId="0" fontId="0" fillId="0" borderId="146" xfId="0" applyBorder="1" applyAlignment="1">
      <alignment horizontal="right" vertical="center" wrapText="1"/>
    </xf>
    <xf numFmtId="0" fontId="0" fillId="0" borderId="146" xfId="0" applyBorder="1" applyAlignment="1">
      <alignment vertical="center"/>
    </xf>
    <xf numFmtId="0" fontId="39" fillId="51" borderId="86" xfId="0" applyFont="1" applyFill="1" applyBorder="1" applyAlignment="1">
      <alignment horizontal="right" vertical="center" wrapText="1"/>
    </xf>
    <xf numFmtId="0" fontId="39" fillId="48" borderId="86" xfId="0" applyFont="1" applyFill="1" applyBorder="1" applyAlignment="1">
      <alignment horizontal="right" vertical="center" wrapText="1"/>
    </xf>
    <xf numFmtId="0" fontId="47" fillId="38" borderId="176" xfId="0" applyFont="1" applyFill="1" applyBorder="1" applyAlignment="1">
      <alignment horizontal="center" vertical="center" wrapText="1"/>
    </xf>
    <xf numFmtId="0" fontId="47" fillId="38" borderId="177" xfId="0" applyFont="1" applyFill="1" applyBorder="1" applyAlignment="1">
      <alignment horizontal="center" vertical="center" wrapText="1"/>
    </xf>
    <xf numFmtId="0" fontId="45" fillId="38" borderId="78" xfId="0" applyFont="1" applyFill="1" applyBorder="1" applyAlignment="1">
      <alignment horizontal="center" vertical="center"/>
    </xf>
    <xf numFmtId="0" fontId="45" fillId="38" borderId="80" xfId="0" applyFont="1" applyFill="1" applyBorder="1" applyAlignment="1">
      <alignment horizontal="center" vertical="center"/>
    </xf>
    <xf numFmtId="0" fontId="128" fillId="0" borderId="81" xfId="0" applyFont="1" applyBorder="1" applyAlignment="1">
      <alignment horizontal="center" vertical="center" wrapText="1"/>
    </xf>
    <xf numFmtId="0" fontId="128" fillId="0" borderId="95" xfId="0" applyFont="1" applyBorder="1" applyAlignment="1">
      <alignment horizontal="center" vertical="center" wrapText="1"/>
    </xf>
    <xf numFmtId="0" fontId="128" fillId="0" borderId="82" xfId="0" applyFont="1" applyBorder="1" applyAlignment="1">
      <alignment horizontal="center" vertical="center" wrapText="1"/>
    </xf>
    <xf numFmtId="0" fontId="128" fillId="0" borderId="96" xfId="0" applyFont="1" applyBorder="1" applyAlignment="1">
      <alignment horizontal="center" vertical="center" wrapText="1"/>
    </xf>
    <xf numFmtId="0" fontId="128" fillId="0" borderId="83" xfId="0" applyFont="1" applyBorder="1" applyAlignment="1">
      <alignment horizontal="center" vertical="center" wrapText="1"/>
    </xf>
    <xf numFmtId="0" fontId="128" fillId="0" borderId="101" xfId="0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126" fillId="0" borderId="81" xfId="0" applyFont="1" applyBorder="1" applyAlignment="1">
      <alignment horizontal="center" vertical="center"/>
    </xf>
    <xf numFmtId="0" fontId="126" fillId="0" borderId="95" xfId="0" applyFont="1" applyBorder="1" applyAlignment="1">
      <alignment horizontal="center" vertical="center"/>
    </xf>
    <xf numFmtId="0" fontId="126" fillId="0" borderId="82" xfId="0" applyFont="1" applyBorder="1" applyAlignment="1">
      <alignment horizontal="center" vertical="center"/>
    </xf>
    <xf numFmtId="0" fontId="126" fillId="0" borderId="96" xfId="0" applyFont="1" applyBorder="1" applyAlignment="1">
      <alignment horizontal="center" vertical="center"/>
    </xf>
    <xf numFmtId="0" fontId="126" fillId="0" borderId="83" xfId="0" applyFont="1" applyBorder="1" applyAlignment="1">
      <alignment horizontal="center" vertical="center"/>
    </xf>
    <xf numFmtId="0" fontId="126" fillId="0" borderId="101" xfId="0" applyFont="1" applyBorder="1" applyAlignment="1">
      <alignment horizontal="center" vertical="center"/>
    </xf>
    <xf numFmtId="0" fontId="122" fillId="0" borderId="0" xfId="0" applyFont="1" applyBorder="1" applyAlignment="1">
      <alignment horizontal="center" vertical="center"/>
    </xf>
    <xf numFmtId="0" fontId="126" fillId="0" borderId="88" xfId="0" applyFont="1" applyFill="1" applyBorder="1" applyAlignment="1">
      <alignment horizontal="center" vertical="center"/>
    </xf>
    <xf numFmtId="0" fontId="126" fillId="0" borderId="89" xfId="0" applyFont="1" applyFill="1" applyBorder="1" applyAlignment="1">
      <alignment horizontal="center" vertical="center"/>
    </xf>
    <xf numFmtId="0" fontId="126" fillId="0" borderId="82" xfId="0" applyFont="1" applyFill="1" applyBorder="1" applyAlignment="1">
      <alignment horizontal="center" vertical="center"/>
    </xf>
    <xf numFmtId="0" fontId="126" fillId="0" borderId="96" xfId="0" applyFont="1" applyFill="1" applyBorder="1" applyAlignment="1">
      <alignment horizontal="center" vertical="center"/>
    </xf>
    <xf numFmtId="0" fontId="126" fillId="0" borderId="83" xfId="0" applyFont="1" applyFill="1" applyBorder="1" applyAlignment="1">
      <alignment horizontal="center" vertical="center"/>
    </xf>
    <xf numFmtId="0" fontId="126" fillId="0" borderId="101" xfId="0" applyFont="1" applyFill="1" applyBorder="1" applyAlignment="1">
      <alignment horizontal="center" vertical="center"/>
    </xf>
    <xf numFmtId="0" fontId="123" fillId="0" borderId="0" xfId="0" applyFont="1" applyBorder="1" applyAlignment="1">
      <alignment horizontal="center" vertical="center"/>
    </xf>
    <xf numFmtId="0" fontId="123" fillId="0" borderId="0" xfId="0" applyFont="1" applyBorder="1" applyAlignment="1">
      <alignment horizontal="center" vertical="center" wrapText="1"/>
    </xf>
    <xf numFmtId="0" fontId="127" fillId="0" borderId="81" xfId="0" applyFont="1" applyBorder="1" applyAlignment="1">
      <alignment horizontal="center" vertical="center" wrapText="1"/>
    </xf>
    <xf numFmtId="0" fontId="127" fillId="0" borderId="148" xfId="0" applyFont="1" applyBorder="1" applyAlignment="1">
      <alignment horizontal="center" vertical="center" wrapText="1"/>
    </xf>
    <xf numFmtId="0" fontId="127" fillId="0" borderId="82" xfId="0" applyFont="1" applyBorder="1" applyAlignment="1">
      <alignment horizontal="center" vertical="center" wrapText="1"/>
    </xf>
    <xf numFmtId="0" fontId="127" fillId="0" borderId="137" xfId="0" applyFont="1" applyBorder="1" applyAlignment="1">
      <alignment horizontal="center" vertical="center" wrapText="1"/>
    </xf>
    <xf numFmtId="0" fontId="127" fillId="0" borderId="178" xfId="0" applyFont="1" applyBorder="1" applyAlignment="1">
      <alignment horizontal="center" vertical="center" wrapText="1"/>
    </xf>
    <xf numFmtId="0" fontId="127" fillId="0" borderId="161" xfId="0" applyFont="1" applyBorder="1" applyAlignment="1">
      <alignment horizontal="center" vertical="center" wrapText="1"/>
    </xf>
    <xf numFmtId="0" fontId="127" fillId="0" borderId="179" xfId="0" applyFont="1" applyBorder="1" applyAlignment="1">
      <alignment horizontal="center" vertical="center" wrapText="1"/>
    </xf>
    <xf numFmtId="0" fontId="127" fillId="0" borderId="180" xfId="0" applyFont="1" applyBorder="1" applyAlignment="1">
      <alignment horizontal="center" vertical="center" wrapText="1"/>
    </xf>
    <xf numFmtId="0" fontId="127" fillId="0" borderId="18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6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12</xdr:col>
      <xdr:colOff>514350</xdr:colOff>
      <xdr:row>26</xdr:row>
      <xdr:rowOff>66675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87439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infogas.ru" TargetMode="External" /><Relationship Id="rId2" Type="http://schemas.openxmlformats.org/officeDocument/2006/relationships/hyperlink" Target="http://www.infogas.ru/" TargetMode="Externa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gas.ru/monoblok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3"/>
  <sheetViews>
    <sheetView zoomScalePageLayoutView="0" workbookViewId="0" topLeftCell="A1">
      <pane ySplit="1" topLeftCell="A2" activePane="bottomLeft" state="frozen"/>
      <selection pane="topLeft" activeCell="B19" sqref="B19"/>
      <selection pane="bottomLeft" activeCell="A275" sqref="A275:D275"/>
    </sheetView>
  </sheetViews>
  <sheetFormatPr defaultColWidth="8.875" defaultRowHeight="12.75"/>
  <cols>
    <col min="1" max="1" width="4.00390625" style="1" customWidth="1"/>
    <col min="2" max="2" width="36.125" style="1" customWidth="1"/>
    <col min="3" max="3" width="12.625" style="1" customWidth="1"/>
    <col min="4" max="4" width="11.75390625" style="1" customWidth="1"/>
    <col min="5" max="5" width="14.375" style="2" customWidth="1"/>
    <col min="6" max="6" width="12.375" style="536" customWidth="1"/>
    <col min="7" max="7" width="9.875" style="1" customWidth="1"/>
    <col min="8" max="8" width="10.00390625" style="1" customWidth="1"/>
    <col min="9" max="9" width="10.875" style="3" customWidth="1"/>
    <col min="10" max="16" width="0" style="3" hidden="1" customWidth="1"/>
    <col min="17" max="16384" width="8.875" style="3" customWidth="1"/>
  </cols>
  <sheetData>
    <row r="1" spans="1:9" ht="1.5" customHeight="1" hidden="1" thickBot="1">
      <c r="A1" s="4" t="s">
        <v>305</v>
      </c>
      <c r="B1" s="5" t="s">
        <v>0</v>
      </c>
      <c r="C1" s="6" t="s">
        <v>1</v>
      </c>
      <c r="D1" s="7" t="s">
        <v>2</v>
      </c>
      <c r="E1" s="7" t="s">
        <v>3</v>
      </c>
      <c r="F1" s="535" t="s">
        <v>305</v>
      </c>
      <c r="G1" s="3"/>
      <c r="H1" s="3"/>
      <c r="I1" s="8"/>
    </row>
    <row r="2" spans="1:9" ht="54" customHeight="1" hidden="1" thickBot="1">
      <c r="A2" s="1059" t="s">
        <v>4</v>
      </c>
      <c r="B2" s="1059"/>
      <c r="C2" s="1059"/>
      <c r="D2" s="1059"/>
      <c r="E2" s="9" t="s">
        <v>5</v>
      </c>
      <c r="F2" s="1060" t="s">
        <v>6</v>
      </c>
      <c r="G2" s="1060"/>
      <c r="H2" s="1060"/>
      <c r="I2" s="8"/>
    </row>
    <row r="3" spans="1:8" ht="24.75" customHeight="1" hidden="1" thickBot="1">
      <c r="A3" s="10" t="s">
        <v>7</v>
      </c>
      <c r="B3" s="1061" t="s">
        <v>0</v>
      </c>
      <c r="C3" s="1062" t="s">
        <v>1</v>
      </c>
      <c r="D3" s="1062" t="s">
        <v>2</v>
      </c>
      <c r="E3" s="1062" t="s">
        <v>3</v>
      </c>
      <c r="F3" s="1063" t="s">
        <v>8</v>
      </c>
      <c r="G3" s="1063"/>
      <c r="H3" s="1063"/>
    </row>
    <row r="4" spans="1:8" ht="13.5" hidden="1" thickBot="1">
      <c r="A4" s="12"/>
      <c r="B4" s="1061"/>
      <c r="C4" s="1062" t="s">
        <v>9</v>
      </c>
      <c r="D4" s="1062"/>
      <c r="E4" s="1062"/>
      <c r="F4" s="13" t="s">
        <v>10</v>
      </c>
      <c r="G4" s="14" t="s">
        <v>11</v>
      </c>
      <c r="H4" s="15" t="s">
        <v>12</v>
      </c>
    </row>
    <row r="5" spans="1:8" ht="15" hidden="1" thickBot="1">
      <c r="A5" s="16">
        <v>1</v>
      </c>
      <c r="B5" s="17" t="s">
        <v>13</v>
      </c>
      <c r="C5" s="18" t="s">
        <v>14</v>
      </c>
      <c r="D5" s="19" t="s">
        <v>15</v>
      </c>
      <c r="E5" s="20" t="s">
        <v>16</v>
      </c>
      <c r="F5" s="21">
        <f>VLOOKUP(D5,ПГ!$G$7:$I$21,3,TRUE)+VLOOKUP(D5,ПГ!$G$7:$I$21,2,TRUE)</f>
        <v>11150</v>
      </c>
      <c r="G5" s="22">
        <f aca="true" t="shared" si="0" ref="G5:G17">ROUND(F5*0.975,-1)</f>
        <v>10870</v>
      </c>
      <c r="H5" s="22">
        <f aca="true" t="shared" si="1" ref="H5:H17">ROUND(F5*0.95,-1)</f>
        <v>10590</v>
      </c>
    </row>
    <row r="6" spans="1:8" s="4" customFormat="1" ht="63" hidden="1" thickBot="1">
      <c r="A6" s="23">
        <f>A5+1</f>
        <v>2</v>
      </c>
      <c r="B6" s="17" t="s">
        <v>17</v>
      </c>
      <c r="C6" s="18" t="s">
        <v>18</v>
      </c>
      <c r="D6" s="24" t="s">
        <v>19</v>
      </c>
      <c r="E6" s="20" t="s">
        <v>20</v>
      </c>
      <c r="F6" s="21">
        <f>F5+F10</f>
        <v>18820</v>
      </c>
      <c r="G6" s="22">
        <f t="shared" si="0"/>
        <v>18350</v>
      </c>
      <c r="H6" s="22">
        <f t="shared" si="1"/>
        <v>17880</v>
      </c>
    </row>
    <row r="7" spans="1:8" s="4" customFormat="1" ht="39" hidden="1" thickBot="1">
      <c r="A7" s="23">
        <f>A6+1</f>
        <v>3</v>
      </c>
      <c r="B7" s="17" t="s">
        <v>21</v>
      </c>
      <c r="C7" s="18" t="s">
        <v>18</v>
      </c>
      <c r="D7" s="24" t="s">
        <v>22</v>
      </c>
      <c r="E7" s="20" t="s">
        <v>23</v>
      </c>
      <c r="F7" s="25">
        <f>F5+F11</f>
        <v>31850</v>
      </c>
      <c r="G7" s="22">
        <f t="shared" si="0"/>
        <v>31050</v>
      </c>
      <c r="H7" s="22">
        <f t="shared" si="1"/>
        <v>30260</v>
      </c>
    </row>
    <row r="8" spans="1:8" s="4" customFormat="1" ht="39.75" hidden="1" thickBot="1">
      <c r="A8" s="23">
        <f>A7+1</f>
        <v>4</v>
      </c>
      <c r="B8" s="17" t="s">
        <v>24</v>
      </c>
      <c r="C8" s="18" t="s">
        <v>25</v>
      </c>
      <c r="D8" s="24" t="s">
        <v>26</v>
      </c>
      <c r="E8" s="20" t="s">
        <v>27</v>
      </c>
      <c r="F8" s="25">
        <f>F5+F10+F13</f>
        <v>29300</v>
      </c>
      <c r="G8" s="22">
        <f t="shared" si="0"/>
        <v>28570</v>
      </c>
      <c r="H8" s="22">
        <f t="shared" si="1"/>
        <v>27840</v>
      </c>
    </row>
    <row r="9" spans="1:8" s="4" customFormat="1" ht="39.75" hidden="1" thickBot="1">
      <c r="A9" s="23">
        <f>A8+1</f>
        <v>5</v>
      </c>
      <c r="B9" s="17" t="s">
        <v>28</v>
      </c>
      <c r="C9" s="18" t="s">
        <v>25</v>
      </c>
      <c r="D9" s="24" t="s">
        <v>29</v>
      </c>
      <c r="E9" s="20" t="s">
        <v>30</v>
      </c>
      <c r="F9" s="25">
        <f>F5+F11+F13</f>
        <v>42330</v>
      </c>
      <c r="G9" s="22">
        <f t="shared" si="0"/>
        <v>41270</v>
      </c>
      <c r="H9" s="22">
        <f t="shared" si="1"/>
        <v>40210</v>
      </c>
    </row>
    <row r="10" spans="1:8" ht="37.5" hidden="1" thickBot="1">
      <c r="A10" s="26"/>
      <c r="B10" s="27" t="s">
        <v>31</v>
      </c>
      <c r="C10" s="28" t="s">
        <v>32</v>
      </c>
      <c r="D10" s="29" t="s">
        <v>33</v>
      </c>
      <c r="E10" s="30" t="s">
        <v>34</v>
      </c>
      <c r="F10" s="31">
        <f>VLOOKUP(D10,ПГ!$G$7:$I$21,2,TRUE)</f>
        <v>7670</v>
      </c>
      <c r="G10" s="32">
        <f t="shared" si="0"/>
        <v>7480</v>
      </c>
      <c r="H10" s="32">
        <f t="shared" si="1"/>
        <v>7290</v>
      </c>
    </row>
    <row r="11" spans="1:8" ht="26.25" hidden="1" thickBot="1">
      <c r="A11" s="26"/>
      <c r="B11" s="27" t="s">
        <v>35</v>
      </c>
      <c r="C11" s="28" t="s">
        <v>14</v>
      </c>
      <c r="D11" s="29" t="s">
        <v>36</v>
      </c>
      <c r="E11" s="30" t="s">
        <v>34</v>
      </c>
      <c r="F11" s="31">
        <f>VLOOKUP(D11,ПГ!$G$7:$I$21,2,TRUE)</f>
        <v>20700</v>
      </c>
      <c r="G11" s="32">
        <f t="shared" si="0"/>
        <v>20180</v>
      </c>
      <c r="H11" s="32">
        <f t="shared" si="1"/>
        <v>19670</v>
      </c>
    </row>
    <row r="12" spans="1:8" ht="29.25" hidden="1" thickBot="1">
      <c r="A12" s="33"/>
      <c r="B12" s="34" t="s">
        <v>37</v>
      </c>
      <c r="C12" s="35" t="s">
        <v>10</v>
      </c>
      <c r="D12" s="36" t="s">
        <v>38</v>
      </c>
      <c r="E12" s="37" t="s">
        <v>39</v>
      </c>
      <c r="F12" s="38">
        <f>VLOOKUP(D12,ПГ!$G$7:$I$21,2,TRUE)</f>
        <v>10480</v>
      </c>
      <c r="G12" s="39">
        <f t="shared" si="0"/>
        <v>10220</v>
      </c>
      <c r="H12" s="39">
        <f t="shared" si="1"/>
        <v>9960</v>
      </c>
    </row>
    <row r="13" spans="1:8" ht="28.5" hidden="1" thickBot="1">
      <c r="A13" s="33"/>
      <c r="B13" s="34" t="s">
        <v>37</v>
      </c>
      <c r="C13" s="35" t="s">
        <v>10</v>
      </c>
      <c r="D13" s="36" t="s">
        <v>40</v>
      </c>
      <c r="E13" s="37" t="s">
        <v>41</v>
      </c>
      <c r="F13" s="38">
        <f>VLOOKUP(D13,ПГ!$G$7:$I$21,2,TRUE)</f>
        <v>10480</v>
      </c>
      <c r="G13" s="39">
        <f t="shared" si="0"/>
        <v>10220</v>
      </c>
      <c r="H13" s="39">
        <f>ROUND(F13*0.95,-1)</f>
        <v>9960</v>
      </c>
    </row>
    <row r="14" spans="1:8" ht="26.25" hidden="1" thickBot="1">
      <c r="A14" s="33"/>
      <c r="B14" s="34" t="s">
        <v>37</v>
      </c>
      <c r="C14" s="35" t="s">
        <v>14</v>
      </c>
      <c r="D14" s="36" t="s">
        <v>42</v>
      </c>
      <c r="E14" s="37" t="s">
        <v>43</v>
      </c>
      <c r="F14" s="38">
        <f>VLOOKUP(D14,ПГ!$G$7:$I$21,2,TRUE)</f>
        <v>11630</v>
      </c>
      <c r="G14" s="39">
        <f t="shared" si="0"/>
        <v>11340</v>
      </c>
      <c r="H14" s="39">
        <f t="shared" si="1"/>
        <v>11050</v>
      </c>
    </row>
    <row r="15" spans="1:8" ht="26.25" hidden="1" thickBot="1">
      <c r="A15" s="33"/>
      <c r="B15" s="34" t="s">
        <v>37</v>
      </c>
      <c r="C15" s="35" t="s">
        <v>14</v>
      </c>
      <c r="D15" s="36" t="s">
        <v>44</v>
      </c>
      <c r="E15" s="37" t="s">
        <v>45</v>
      </c>
      <c r="F15" s="38">
        <f>VLOOKUP(D15,ПГ!$G$7:$I$21,2,TRUE)</f>
        <v>12140</v>
      </c>
      <c r="G15" s="39">
        <f t="shared" si="0"/>
        <v>11840</v>
      </c>
      <c r="H15" s="39">
        <f>ROUND(F15*0.95,-1)</f>
        <v>11530</v>
      </c>
    </row>
    <row r="16" spans="1:8" ht="26.25" hidden="1" thickBot="1">
      <c r="A16" s="33"/>
      <c r="B16" s="34" t="s">
        <v>46</v>
      </c>
      <c r="C16" s="35" t="s">
        <v>47</v>
      </c>
      <c r="D16" s="36" t="s">
        <v>48</v>
      </c>
      <c r="E16" s="37" t="s">
        <v>49</v>
      </c>
      <c r="F16" s="38">
        <f>VLOOKUP(D16,ПГ!$G$7:$I$21,2,TRUE)</f>
        <v>20110</v>
      </c>
      <c r="G16" s="39">
        <f t="shared" si="0"/>
        <v>19610</v>
      </c>
      <c r="H16" s="39">
        <f>ROUND(F16*0.95,-1)</f>
        <v>19100</v>
      </c>
    </row>
    <row r="17" spans="1:8" ht="26.25" hidden="1" thickBot="1">
      <c r="A17" s="33"/>
      <c r="B17" s="34" t="s">
        <v>50</v>
      </c>
      <c r="C17" s="35" t="s">
        <v>14</v>
      </c>
      <c r="D17" s="36" t="s">
        <v>51</v>
      </c>
      <c r="E17" s="37" t="s">
        <v>52</v>
      </c>
      <c r="F17" s="38">
        <f>VLOOKUP(D17,ПГ!$G$7:$I$21,2,TRUE)</f>
        <v>24540</v>
      </c>
      <c r="G17" s="39">
        <f t="shared" si="0"/>
        <v>23930</v>
      </c>
      <c r="H17" s="39">
        <f t="shared" si="1"/>
        <v>23310</v>
      </c>
    </row>
    <row r="18" spans="1:8" s="4" customFormat="1" ht="46.5" customHeight="1" hidden="1" thickBot="1">
      <c r="A18" s="23"/>
      <c r="B18" s="40" t="s">
        <v>53</v>
      </c>
      <c r="C18" s="18" t="s">
        <v>54</v>
      </c>
      <c r="D18" s="41" t="s">
        <v>55</v>
      </c>
      <c r="E18" s="20" t="s">
        <v>16</v>
      </c>
      <c r="F18" s="25"/>
      <c r="G18" s="42"/>
      <c r="H18" s="42"/>
    </row>
    <row r="19" spans="1:8" ht="12" customHeight="1" hidden="1" thickBot="1">
      <c r="A19" s="43"/>
      <c r="B19" s="44"/>
      <c r="C19" s="45"/>
      <c r="D19" s="46"/>
      <c r="E19" s="47"/>
      <c r="F19" s="48"/>
      <c r="G19" s="49"/>
      <c r="H19" s="49"/>
    </row>
    <row r="20" spans="1:8" ht="29.25" hidden="1" thickBot="1">
      <c r="A20" s="12">
        <f>A9+1</f>
        <v>6</v>
      </c>
      <c r="B20" s="50" t="s">
        <v>56</v>
      </c>
      <c r="C20" s="51" t="s">
        <v>14</v>
      </c>
      <c r="D20" s="24" t="s">
        <v>38</v>
      </c>
      <c r="E20" s="52" t="s">
        <v>57</v>
      </c>
      <c r="F20" s="21">
        <f>VLOOKUP(D20,ПГ!$G$7:$I$21,3,TRUE)+VLOOKUP(D20,ПГ!$G$7:$I$21,2,TRUE)</f>
        <v>12820</v>
      </c>
      <c r="G20" s="53">
        <f aca="true" t="shared" si="2" ref="G20:G28">ROUND(F20*0.975,-1)</f>
        <v>12500</v>
      </c>
      <c r="H20" s="53">
        <f aca="true" t="shared" si="3" ref="H20:H28">ROUND(F20*0.95,-1)</f>
        <v>12180</v>
      </c>
    </row>
    <row r="21" spans="1:8" ht="29.25" hidden="1" thickBot="1">
      <c r="A21" s="33"/>
      <c r="B21" s="34" t="s">
        <v>58</v>
      </c>
      <c r="C21" s="35" t="s">
        <v>14</v>
      </c>
      <c r="D21" s="36" t="s">
        <v>38</v>
      </c>
      <c r="E21" s="37" t="s">
        <v>39</v>
      </c>
      <c r="F21" s="38">
        <f>VLOOKUP(D21,ПГ!$G$7:$I$21,2,TRUE)</f>
        <v>10480</v>
      </c>
      <c r="G21" s="39">
        <f t="shared" si="2"/>
        <v>10220</v>
      </c>
      <c r="H21" s="39">
        <f t="shared" si="3"/>
        <v>9960</v>
      </c>
    </row>
    <row r="22" spans="1:8" ht="28.5" hidden="1" thickBot="1">
      <c r="A22" s="33"/>
      <c r="B22" s="34" t="s">
        <v>58</v>
      </c>
      <c r="C22" s="35" t="s">
        <v>10</v>
      </c>
      <c r="D22" s="36" t="s">
        <v>40</v>
      </c>
      <c r="E22" s="37" t="s">
        <v>41</v>
      </c>
      <c r="F22" s="38">
        <f>VLOOKUP(D22,ПГ!$G$7:$I$21,2,TRUE)</f>
        <v>10480</v>
      </c>
      <c r="G22" s="39">
        <f t="shared" si="2"/>
        <v>10220</v>
      </c>
      <c r="H22" s="39">
        <f>ROUND(F22*0.95,-1)</f>
        <v>9960</v>
      </c>
    </row>
    <row r="23" spans="1:8" ht="26.25" hidden="1" thickBot="1">
      <c r="A23" s="33"/>
      <c r="B23" s="34" t="s">
        <v>58</v>
      </c>
      <c r="C23" s="35" t="s">
        <v>10</v>
      </c>
      <c r="D23" s="37" t="s">
        <v>59</v>
      </c>
      <c r="E23" s="37" t="s">
        <v>60</v>
      </c>
      <c r="F23" s="38">
        <f>VLOOKUP(D23,ПГ!$G$7:$I$21,2,TRUE)</f>
        <v>11630</v>
      </c>
      <c r="G23" s="39">
        <f t="shared" si="2"/>
        <v>11340</v>
      </c>
      <c r="H23" s="39">
        <f t="shared" si="3"/>
        <v>11050</v>
      </c>
    </row>
    <row r="24" spans="1:8" ht="26.25" hidden="1" thickBot="1">
      <c r="A24" s="33"/>
      <c r="B24" s="34" t="s">
        <v>58</v>
      </c>
      <c r="C24" s="35" t="s">
        <v>10</v>
      </c>
      <c r="D24" s="37" t="s">
        <v>61</v>
      </c>
      <c r="E24" s="37" t="s">
        <v>45</v>
      </c>
      <c r="F24" s="38">
        <f>VLOOKUP(D24,ПГ!$G$7:$I$21,2,TRUE)</f>
        <v>12140</v>
      </c>
      <c r="G24" s="39">
        <f t="shared" si="2"/>
        <v>11840</v>
      </c>
      <c r="H24" s="39">
        <f>ROUND(F24*0.95,-1)</f>
        <v>11530</v>
      </c>
    </row>
    <row r="25" spans="1:8" ht="26.25" hidden="1" thickBot="1">
      <c r="A25" s="33"/>
      <c r="B25" s="34" t="s">
        <v>62</v>
      </c>
      <c r="C25" s="35" t="s">
        <v>14</v>
      </c>
      <c r="D25" s="37" t="s">
        <v>48</v>
      </c>
      <c r="E25" s="37" t="s">
        <v>49</v>
      </c>
      <c r="F25" s="38">
        <f>VLOOKUP(D25,ПГ!$G$7:$I$21,2,TRUE)</f>
        <v>20110</v>
      </c>
      <c r="G25" s="39">
        <f t="shared" si="2"/>
        <v>19610</v>
      </c>
      <c r="H25" s="39">
        <f>ROUND(F25*0.95,-1)</f>
        <v>19100</v>
      </c>
    </row>
    <row r="26" spans="1:8" ht="26.25" hidden="1" thickBot="1">
      <c r="A26" s="33"/>
      <c r="B26" s="34" t="s">
        <v>63</v>
      </c>
      <c r="C26" s="35" t="s">
        <v>14</v>
      </c>
      <c r="D26" s="36" t="s">
        <v>51</v>
      </c>
      <c r="E26" s="37" t="s">
        <v>52</v>
      </c>
      <c r="F26" s="38">
        <f>VLOOKUP(D26,ПГ!$G$7:$I$21,2,TRUE)</f>
        <v>24540</v>
      </c>
      <c r="G26" s="39">
        <f t="shared" si="2"/>
        <v>23930</v>
      </c>
      <c r="H26" s="39">
        <f t="shared" si="3"/>
        <v>23310</v>
      </c>
    </row>
    <row r="27" spans="1:8" ht="38.25" customHeight="1" hidden="1" thickBot="1">
      <c r="A27" s="26"/>
      <c r="B27" s="27" t="s">
        <v>64</v>
      </c>
      <c r="C27" s="28" t="s">
        <v>32</v>
      </c>
      <c r="D27" s="29" t="s">
        <v>33</v>
      </c>
      <c r="E27" s="30" t="s">
        <v>34</v>
      </c>
      <c r="F27" s="31">
        <f>VLOOKUP(D27,ПГ!$G$7:$I$21,2,TRUE)</f>
        <v>7670</v>
      </c>
      <c r="G27" s="32">
        <f t="shared" si="2"/>
        <v>7480</v>
      </c>
      <c r="H27" s="32">
        <f t="shared" si="3"/>
        <v>7290</v>
      </c>
    </row>
    <row r="28" spans="1:8" ht="39" customHeight="1" hidden="1" thickBot="1">
      <c r="A28" s="26"/>
      <c r="B28" s="27" t="s">
        <v>65</v>
      </c>
      <c r="C28" s="28" t="s">
        <v>14</v>
      </c>
      <c r="D28" s="29" t="s">
        <v>36</v>
      </c>
      <c r="E28" s="30" t="s">
        <v>34</v>
      </c>
      <c r="F28" s="31">
        <f>VLOOKUP(D28,ПГ!$G$7:$I$21,2,TRUE)</f>
        <v>20700</v>
      </c>
      <c r="G28" s="32">
        <f t="shared" si="2"/>
        <v>20180</v>
      </c>
      <c r="H28" s="32">
        <f t="shared" si="3"/>
        <v>19670</v>
      </c>
    </row>
    <row r="29" spans="1:8" s="4" customFormat="1" ht="60.75" customHeight="1" hidden="1" thickBot="1">
      <c r="A29" s="23"/>
      <c r="B29" s="40" t="s">
        <v>66</v>
      </c>
      <c r="C29" s="18" t="s">
        <v>54</v>
      </c>
      <c r="D29" s="41" t="s">
        <v>67</v>
      </c>
      <c r="E29" s="52" t="s">
        <v>39</v>
      </c>
      <c r="F29" s="25"/>
      <c r="G29" s="42"/>
      <c r="H29" s="42"/>
    </row>
    <row r="30" spans="1:8" ht="12" customHeight="1" hidden="1" thickBot="1">
      <c r="A30" s="43"/>
      <c r="B30" s="44"/>
      <c r="C30" s="45"/>
      <c r="D30" s="46"/>
      <c r="E30" s="47"/>
      <c r="F30" s="48"/>
      <c r="G30" s="49"/>
      <c r="H30" s="49"/>
    </row>
    <row r="31" spans="1:8" ht="28.5" hidden="1" thickBot="1">
      <c r="A31" s="12">
        <f>A20+1</f>
        <v>7</v>
      </c>
      <c r="B31" s="50" t="s">
        <v>56</v>
      </c>
      <c r="C31" s="51" t="s">
        <v>14</v>
      </c>
      <c r="D31" s="24" t="s">
        <v>40</v>
      </c>
      <c r="E31" s="52" t="s">
        <v>68</v>
      </c>
      <c r="F31" s="21">
        <f>VLOOKUP(D31,ПГ!$G$7:$I$21,3,TRUE)+VLOOKUP(D31,ПГ!$G$7:$I$21,2,TRUE)</f>
        <v>12820</v>
      </c>
      <c r="G31" s="53">
        <f aca="true" t="shared" si="4" ref="G31:G38">ROUND(F31*0.975,-1)</f>
        <v>12500</v>
      </c>
      <c r="H31" s="53">
        <f aca="true" t="shared" si="5" ref="H31:H38">ROUND(F31*0.95,-1)</f>
        <v>12180</v>
      </c>
    </row>
    <row r="32" spans="1:8" ht="28.5" hidden="1" thickBot="1">
      <c r="A32" s="33"/>
      <c r="B32" s="34" t="s">
        <v>58</v>
      </c>
      <c r="C32" s="35" t="s">
        <v>14</v>
      </c>
      <c r="D32" s="36" t="s">
        <v>40</v>
      </c>
      <c r="E32" s="37" t="s">
        <v>68</v>
      </c>
      <c r="F32" s="38">
        <f>VLOOKUP(D32,ПГ!$G$7:$I$21,2,TRUE)</f>
        <v>10480</v>
      </c>
      <c r="G32" s="39">
        <f t="shared" si="4"/>
        <v>10220</v>
      </c>
      <c r="H32" s="39">
        <f t="shared" si="5"/>
        <v>9960</v>
      </c>
    </row>
    <row r="33" spans="1:8" ht="26.25" hidden="1" thickBot="1">
      <c r="A33" s="33"/>
      <c r="B33" s="34" t="s">
        <v>58</v>
      </c>
      <c r="C33" s="35" t="s">
        <v>14</v>
      </c>
      <c r="D33" s="37" t="s">
        <v>59</v>
      </c>
      <c r="E33" s="37" t="s">
        <v>60</v>
      </c>
      <c r="F33" s="38">
        <f>VLOOKUP(D33,ПГ!$G$7:$I$21,2,TRUE)</f>
        <v>11630</v>
      </c>
      <c r="G33" s="39">
        <f t="shared" si="4"/>
        <v>11340</v>
      </c>
      <c r="H33" s="39">
        <f t="shared" si="5"/>
        <v>11050</v>
      </c>
    </row>
    <row r="34" spans="1:8" ht="26.25" hidden="1" thickBot="1">
      <c r="A34" s="33"/>
      <c r="B34" s="34" t="s">
        <v>58</v>
      </c>
      <c r="C34" s="35" t="s">
        <v>14</v>
      </c>
      <c r="D34" s="37" t="s">
        <v>61</v>
      </c>
      <c r="E34" s="37" t="s">
        <v>45</v>
      </c>
      <c r="F34" s="38">
        <f>VLOOKUP(D34,ПГ!$G$7:$I$21,2,TRUE)</f>
        <v>12140</v>
      </c>
      <c r="G34" s="39">
        <f t="shared" si="4"/>
        <v>11840</v>
      </c>
      <c r="H34" s="39">
        <f t="shared" si="5"/>
        <v>11530</v>
      </c>
    </row>
    <row r="35" spans="1:8" ht="26.25" hidden="1" thickBot="1">
      <c r="A35" s="33"/>
      <c r="B35" s="34" t="s">
        <v>62</v>
      </c>
      <c r="C35" s="35" t="s">
        <v>14</v>
      </c>
      <c r="D35" s="37" t="s">
        <v>48</v>
      </c>
      <c r="E35" s="37" t="s">
        <v>49</v>
      </c>
      <c r="F35" s="38">
        <f>VLOOKUP(D35,ПГ!$G$7:$I$21,2,TRUE)</f>
        <v>20110</v>
      </c>
      <c r="G35" s="39">
        <f t="shared" si="4"/>
        <v>19610</v>
      </c>
      <c r="H35" s="39">
        <f t="shared" si="5"/>
        <v>19100</v>
      </c>
    </row>
    <row r="36" spans="1:8" ht="26.25" hidden="1" thickBot="1">
      <c r="A36" s="33"/>
      <c r="B36" s="34" t="s">
        <v>63</v>
      </c>
      <c r="C36" s="35" t="s">
        <v>14</v>
      </c>
      <c r="D36" s="36" t="s">
        <v>51</v>
      </c>
      <c r="E36" s="37" t="s">
        <v>52</v>
      </c>
      <c r="F36" s="38">
        <f>VLOOKUP(D36,ПГ!$G$7:$I$21,2,TRUE)</f>
        <v>24540</v>
      </c>
      <c r="G36" s="39">
        <f t="shared" si="4"/>
        <v>23930</v>
      </c>
      <c r="H36" s="39">
        <f t="shared" si="5"/>
        <v>23310</v>
      </c>
    </row>
    <row r="37" spans="1:8" ht="38.25" customHeight="1" hidden="1" thickBot="1">
      <c r="A37" s="26"/>
      <c r="B37" s="27" t="s">
        <v>64</v>
      </c>
      <c r="C37" s="28" t="s">
        <v>32</v>
      </c>
      <c r="D37" s="29" t="s">
        <v>33</v>
      </c>
      <c r="E37" s="30" t="s">
        <v>34</v>
      </c>
      <c r="F37" s="31">
        <f>VLOOKUP(D37,ПГ!$G$7:$I$21,2,TRUE)</f>
        <v>7670</v>
      </c>
      <c r="G37" s="32">
        <f t="shared" si="4"/>
        <v>7480</v>
      </c>
      <c r="H37" s="32">
        <f t="shared" si="5"/>
        <v>7290</v>
      </c>
    </row>
    <row r="38" spans="1:8" ht="33" customHeight="1" hidden="1" thickBot="1">
      <c r="A38" s="26"/>
      <c r="B38" s="27" t="s">
        <v>65</v>
      </c>
      <c r="C38" s="28" t="s">
        <v>14</v>
      </c>
      <c r="D38" s="29" t="s">
        <v>36</v>
      </c>
      <c r="E38" s="30" t="s">
        <v>34</v>
      </c>
      <c r="F38" s="31">
        <f>VLOOKUP(D38,ПГ!$G$7:$I$21,2,TRUE)</f>
        <v>20700</v>
      </c>
      <c r="G38" s="32">
        <f t="shared" si="4"/>
        <v>20180</v>
      </c>
      <c r="H38" s="32">
        <f t="shared" si="5"/>
        <v>19670</v>
      </c>
    </row>
    <row r="39" spans="1:8" s="4" customFormat="1" ht="60.75" customHeight="1" hidden="1" thickBot="1">
      <c r="A39" s="23"/>
      <c r="B39" s="40" t="s">
        <v>66</v>
      </c>
      <c r="C39" s="18" t="s">
        <v>54</v>
      </c>
      <c r="D39" s="41" t="s">
        <v>67</v>
      </c>
      <c r="E39" s="52" t="s">
        <v>68</v>
      </c>
      <c r="F39" s="25"/>
      <c r="G39" s="42"/>
      <c r="H39" s="42"/>
    </row>
    <row r="40" spans="1:8" ht="15.75" customHeight="1" hidden="1" thickBot="1">
      <c r="A40" s="43"/>
      <c r="B40" s="44"/>
      <c r="C40" s="45"/>
      <c r="D40" s="46"/>
      <c r="E40" s="47"/>
      <c r="F40" s="48"/>
      <c r="G40" s="49"/>
      <c r="H40" s="49"/>
    </row>
    <row r="41" spans="1:8" ht="15" hidden="1" thickBot="1">
      <c r="A41" s="12">
        <f>A31+1</f>
        <v>8</v>
      </c>
      <c r="B41" s="50" t="s">
        <v>56</v>
      </c>
      <c r="C41" s="51" t="s">
        <v>14</v>
      </c>
      <c r="D41" s="20" t="s">
        <v>59</v>
      </c>
      <c r="E41" s="54" t="s">
        <v>60</v>
      </c>
      <c r="F41" s="21">
        <f>VLOOKUP(D41,ПГ!$G$7:$I$21,3,TRUE)+VLOOKUP(D41,ПГ!$G$7:$I$21,2,TRUE)</f>
        <v>13740</v>
      </c>
      <c r="G41" s="53">
        <f aca="true" t="shared" si="6" ref="G41:G46">ROUND(F41*0.975,-1)</f>
        <v>13400</v>
      </c>
      <c r="H41" s="53">
        <f aca="true" t="shared" si="7" ref="H41:H46">ROUND(F41*0.95,-1)</f>
        <v>13050</v>
      </c>
    </row>
    <row r="42" spans="1:8" ht="26.25" hidden="1" thickBot="1">
      <c r="A42" s="33"/>
      <c r="B42" s="34" t="s">
        <v>58</v>
      </c>
      <c r="C42" s="35" t="s">
        <v>14</v>
      </c>
      <c r="D42" s="37" t="s">
        <v>61</v>
      </c>
      <c r="E42" s="37" t="s">
        <v>45</v>
      </c>
      <c r="F42" s="38">
        <f>VLOOKUP(D42,ПГ!$G$7:$I$21,2,TRUE)</f>
        <v>12140</v>
      </c>
      <c r="G42" s="39">
        <f t="shared" si="6"/>
        <v>11840</v>
      </c>
      <c r="H42" s="39">
        <f t="shared" si="7"/>
        <v>11530</v>
      </c>
    </row>
    <row r="43" spans="1:8" ht="26.25" hidden="1" thickBot="1">
      <c r="A43" s="33"/>
      <c r="B43" s="34" t="s">
        <v>62</v>
      </c>
      <c r="C43" s="35" t="s">
        <v>14</v>
      </c>
      <c r="D43" s="37" t="s">
        <v>48</v>
      </c>
      <c r="E43" s="37" t="s">
        <v>49</v>
      </c>
      <c r="F43" s="38">
        <f>VLOOKUP(D43,ПГ!$G$7:$I$21,2,TRUE)</f>
        <v>20110</v>
      </c>
      <c r="G43" s="39">
        <f t="shared" si="6"/>
        <v>19610</v>
      </c>
      <c r="H43" s="39">
        <f t="shared" si="7"/>
        <v>19100</v>
      </c>
    </row>
    <row r="44" spans="1:8" ht="26.25" hidden="1" thickBot="1">
      <c r="A44" s="33"/>
      <c r="B44" s="34" t="s">
        <v>63</v>
      </c>
      <c r="C44" s="35" t="s">
        <v>14</v>
      </c>
      <c r="D44" s="36" t="s">
        <v>51</v>
      </c>
      <c r="E44" s="37" t="s">
        <v>52</v>
      </c>
      <c r="F44" s="38">
        <f>VLOOKUP(D44,ПГ!$G$7:$I$21,2,TRUE)</f>
        <v>24540</v>
      </c>
      <c r="G44" s="39">
        <f t="shared" si="6"/>
        <v>23930</v>
      </c>
      <c r="H44" s="39">
        <f t="shared" si="7"/>
        <v>23310</v>
      </c>
    </row>
    <row r="45" spans="1:8" ht="39" hidden="1" thickBot="1">
      <c r="A45" s="26"/>
      <c r="B45" s="27" t="s">
        <v>64</v>
      </c>
      <c r="C45" s="28" t="s">
        <v>32</v>
      </c>
      <c r="D45" s="29" t="s">
        <v>33</v>
      </c>
      <c r="E45" s="30" t="s">
        <v>34</v>
      </c>
      <c r="F45" s="31">
        <f>VLOOKUP(D45,ПГ!$G$7:$I$21,2,TRUE)</f>
        <v>7670</v>
      </c>
      <c r="G45" s="32">
        <f t="shared" si="6"/>
        <v>7480</v>
      </c>
      <c r="H45" s="32">
        <f t="shared" si="7"/>
        <v>7290</v>
      </c>
    </row>
    <row r="46" spans="1:8" ht="26.25" hidden="1" thickBot="1">
      <c r="A46" s="26"/>
      <c r="B46" s="27" t="s">
        <v>35</v>
      </c>
      <c r="C46" s="28" t="s">
        <v>14</v>
      </c>
      <c r="D46" s="29" t="s">
        <v>36</v>
      </c>
      <c r="E46" s="30" t="s">
        <v>34</v>
      </c>
      <c r="F46" s="31">
        <f>VLOOKUP(D46,ПГ!$G$7:$I$21,2,TRUE)</f>
        <v>20700</v>
      </c>
      <c r="G46" s="32">
        <f t="shared" si="6"/>
        <v>20180</v>
      </c>
      <c r="H46" s="32">
        <f t="shared" si="7"/>
        <v>19670</v>
      </c>
    </row>
    <row r="47" spans="1:8" s="4" customFormat="1" ht="53.25" customHeight="1" hidden="1" thickBot="1">
      <c r="A47" s="23"/>
      <c r="B47" s="40" t="s">
        <v>66</v>
      </c>
      <c r="C47" s="18" t="s">
        <v>69</v>
      </c>
      <c r="D47" s="55" t="s">
        <v>70</v>
      </c>
      <c r="E47" s="54" t="s">
        <v>60</v>
      </c>
      <c r="F47" s="25"/>
      <c r="G47" s="42"/>
      <c r="H47" s="42"/>
    </row>
    <row r="48" spans="1:8" ht="15.75" customHeight="1" hidden="1" thickBot="1">
      <c r="A48" s="43"/>
      <c r="B48" s="44"/>
      <c r="C48" s="45"/>
      <c r="D48" s="46"/>
      <c r="E48" s="47"/>
      <c r="F48" s="48"/>
      <c r="G48" s="49"/>
      <c r="H48" s="49"/>
    </row>
    <row r="49" spans="1:8" ht="15" hidden="1" thickBot="1">
      <c r="A49" s="12">
        <f>A41+1</f>
        <v>9</v>
      </c>
      <c r="B49" s="50" t="s">
        <v>56</v>
      </c>
      <c r="C49" s="51" t="s">
        <v>14</v>
      </c>
      <c r="D49" s="54" t="s">
        <v>61</v>
      </c>
      <c r="E49" s="54" t="s">
        <v>45</v>
      </c>
      <c r="F49" s="21">
        <f>VLOOKUP(D49,ПГ!$G$7:$I$21,3,TRUE)+VLOOKUP(D49,ПГ!$G$7:$I$21,2,TRUE)</f>
        <v>14480</v>
      </c>
      <c r="G49" s="53">
        <f>ROUND(F49*0.975,-1)</f>
        <v>14120</v>
      </c>
      <c r="H49" s="53">
        <f>ROUND(F49*0.95,-1)</f>
        <v>13760</v>
      </c>
    </row>
    <row r="50" spans="1:8" ht="26.25" hidden="1" thickBot="1">
      <c r="A50" s="33"/>
      <c r="B50" s="34" t="s">
        <v>62</v>
      </c>
      <c r="C50" s="35" t="s">
        <v>14</v>
      </c>
      <c r="D50" s="37" t="s">
        <v>48</v>
      </c>
      <c r="E50" s="37" t="s">
        <v>49</v>
      </c>
      <c r="F50" s="38">
        <f>VLOOKUP(D50,ПГ!$G$7:$I$21,2,TRUE)</f>
        <v>20110</v>
      </c>
      <c r="G50" s="39">
        <f>ROUND(F50*0.975,-1)</f>
        <v>19610</v>
      </c>
      <c r="H50" s="39">
        <f>ROUND(F50*0.95,-1)</f>
        <v>19100</v>
      </c>
    </row>
    <row r="51" spans="1:8" ht="26.25" hidden="1" thickBot="1">
      <c r="A51" s="33"/>
      <c r="B51" s="34" t="s">
        <v>63</v>
      </c>
      <c r="C51" s="35" t="s">
        <v>14</v>
      </c>
      <c r="D51" s="36" t="s">
        <v>51</v>
      </c>
      <c r="E51" s="37" t="s">
        <v>52</v>
      </c>
      <c r="F51" s="38">
        <f>VLOOKUP(D51,ПГ!$G$7:$I$21,2,TRUE)</f>
        <v>24540</v>
      </c>
      <c r="G51" s="39">
        <f>ROUND(F51*0.975,-1)</f>
        <v>23930</v>
      </c>
      <c r="H51" s="39">
        <f>ROUND(F51*0.95,-1)</f>
        <v>23310</v>
      </c>
    </row>
    <row r="52" spans="1:8" ht="39" hidden="1" thickBot="1">
      <c r="A52" s="26"/>
      <c r="B52" s="27" t="s">
        <v>64</v>
      </c>
      <c r="C52" s="28" t="s">
        <v>32</v>
      </c>
      <c r="D52" s="29" t="s">
        <v>33</v>
      </c>
      <c r="E52" s="30" t="s">
        <v>34</v>
      </c>
      <c r="F52" s="31">
        <f>VLOOKUP(D52,ПГ!$G$7:$I$21,2,TRUE)</f>
        <v>7670</v>
      </c>
      <c r="G52" s="32">
        <f>ROUND(F52*0.975,-1)</f>
        <v>7480</v>
      </c>
      <c r="H52" s="32">
        <f>ROUND(F52*0.95,-1)</f>
        <v>7290</v>
      </c>
    </row>
    <row r="53" spans="1:8" ht="26.25" hidden="1" thickBot="1">
      <c r="A53" s="26"/>
      <c r="B53" s="27" t="s">
        <v>35</v>
      </c>
      <c r="C53" s="28" t="s">
        <v>14</v>
      </c>
      <c r="D53" s="29" t="s">
        <v>36</v>
      </c>
      <c r="E53" s="30" t="s">
        <v>34</v>
      </c>
      <c r="F53" s="31">
        <f>VLOOKUP(D53,ПГ!$G$7:$I$21,2,TRUE)</f>
        <v>20700</v>
      </c>
      <c r="G53" s="32">
        <f>ROUND(F53*0.975,-1)</f>
        <v>20180</v>
      </c>
      <c r="H53" s="32">
        <f>ROUND(F53*0.95,-1)</f>
        <v>19670</v>
      </c>
    </row>
    <row r="54" spans="1:8" s="4" customFormat="1" ht="53.25" customHeight="1" hidden="1" thickBot="1">
      <c r="A54" s="23"/>
      <c r="B54" s="40" t="s">
        <v>66</v>
      </c>
      <c r="C54" s="18" t="s">
        <v>54</v>
      </c>
      <c r="D54" s="55" t="s">
        <v>71</v>
      </c>
      <c r="E54" s="54" t="s">
        <v>45</v>
      </c>
      <c r="F54" s="25"/>
      <c r="G54" s="42"/>
      <c r="H54" s="42"/>
    </row>
    <row r="55" spans="1:8" ht="14.25" customHeight="1" hidden="1" thickBot="1">
      <c r="A55" s="43"/>
      <c r="B55" s="44"/>
      <c r="C55" s="45"/>
      <c r="D55" s="46"/>
      <c r="E55" s="47"/>
      <c r="F55" s="48"/>
      <c r="G55" s="49"/>
      <c r="H55" s="49"/>
    </row>
    <row r="56" spans="1:8" ht="14.25" hidden="1" thickBot="1">
      <c r="A56" s="12">
        <f>A49+1</f>
        <v>10</v>
      </c>
      <c r="B56" s="50" t="s">
        <v>56</v>
      </c>
      <c r="C56" s="51" t="s">
        <v>14</v>
      </c>
      <c r="D56" s="20" t="s">
        <v>48</v>
      </c>
      <c r="E56" s="54" t="s">
        <v>49</v>
      </c>
      <c r="F56" s="21">
        <f>VLOOKUP(D56,ПГ!$G$7:$I$21,3,TRUE)+VLOOKUP(D56,ПГ!$G$7:$I$21,2,TRUE)</f>
        <v>22450</v>
      </c>
      <c r="G56" s="53">
        <f>ROUND(F56*0.975,-1)</f>
        <v>21890</v>
      </c>
      <c r="H56" s="53">
        <f>ROUND(F56*0.95,-1)</f>
        <v>21330</v>
      </c>
    </row>
    <row r="57" spans="1:8" ht="26.25" hidden="1" thickBot="1">
      <c r="A57" s="33"/>
      <c r="B57" s="34" t="s">
        <v>63</v>
      </c>
      <c r="C57" s="35" t="s">
        <v>14</v>
      </c>
      <c r="D57" s="36" t="s">
        <v>51</v>
      </c>
      <c r="E57" s="37" t="s">
        <v>52</v>
      </c>
      <c r="F57" s="38">
        <f>VLOOKUP(D57,ПГ!$G$7:$I$21,2,TRUE)</f>
        <v>24540</v>
      </c>
      <c r="G57" s="39">
        <f>ROUND(F57*0.975,-1)</f>
        <v>23930</v>
      </c>
      <c r="H57" s="39">
        <f>ROUND(F57*0.95,-1)</f>
        <v>23310</v>
      </c>
    </row>
    <row r="58" spans="1:8" ht="39" hidden="1" thickBot="1">
      <c r="A58" s="26"/>
      <c r="B58" s="27" t="s">
        <v>64</v>
      </c>
      <c r="C58" s="28" t="s">
        <v>32</v>
      </c>
      <c r="D58" s="29" t="s">
        <v>33</v>
      </c>
      <c r="E58" s="30" t="s">
        <v>34</v>
      </c>
      <c r="F58" s="31">
        <f>VLOOKUP(D58,ПГ!$G$7:$I$21,2,TRUE)</f>
        <v>7670</v>
      </c>
      <c r="G58" s="32">
        <f>ROUND(F58*0.975,-1)</f>
        <v>7480</v>
      </c>
      <c r="H58" s="32">
        <f>ROUND(F58*0.95,-1)</f>
        <v>7290</v>
      </c>
    </row>
    <row r="59" spans="1:8" ht="26.25" hidden="1" thickBot="1">
      <c r="A59" s="26"/>
      <c r="B59" s="27" t="s">
        <v>35</v>
      </c>
      <c r="C59" s="28" t="s">
        <v>14</v>
      </c>
      <c r="D59" s="29" t="s">
        <v>36</v>
      </c>
      <c r="E59" s="30" t="s">
        <v>34</v>
      </c>
      <c r="F59" s="31">
        <f>VLOOKUP(D59,ПГ!$G$7:$I$21,2,TRUE)</f>
        <v>20700</v>
      </c>
      <c r="G59" s="32">
        <f>ROUND(F59*0.975,-1)</f>
        <v>20180</v>
      </c>
      <c r="H59" s="32">
        <f>ROUND(F59*0.95,-1)</f>
        <v>19670</v>
      </c>
    </row>
    <row r="60" spans="1:8" s="4" customFormat="1" ht="53.25" customHeight="1" hidden="1" thickBot="1">
      <c r="A60" s="23"/>
      <c r="B60" s="40" t="s">
        <v>66</v>
      </c>
      <c r="C60" s="18" t="s">
        <v>54</v>
      </c>
      <c r="D60" s="55" t="s">
        <v>72</v>
      </c>
      <c r="E60" s="54" t="s">
        <v>49</v>
      </c>
      <c r="F60" s="25"/>
      <c r="G60" s="42"/>
      <c r="H60" s="42"/>
    </row>
    <row r="61" spans="1:8" ht="14.25" customHeight="1" hidden="1" thickBot="1">
      <c r="A61" s="43"/>
      <c r="B61" s="44"/>
      <c r="C61" s="45"/>
      <c r="D61" s="46"/>
      <c r="E61" s="47"/>
      <c r="F61" s="48"/>
      <c r="G61" s="49"/>
      <c r="H61" s="49"/>
    </row>
    <row r="62" spans="1:8" ht="30" customHeight="1" hidden="1" thickBot="1">
      <c r="A62" s="12">
        <f>A56+1</f>
        <v>11</v>
      </c>
      <c r="B62" s="50" t="s">
        <v>56</v>
      </c>
      <c r="C62" s="51" t="s">
        <v>14</v>
      </c>
      <c r="D62" s="41" t="s">
        <v>73</v>
      </c>
      <c r="E62" s="52" t="s">
        <v>52</v>
      </c>
      <c r="F62" s="21">
        <f>VLOOKUP(D62,ПГ!$G$7:$I$21,3,TRUE)+VLOOKUP(D62,ПГ!$G$7:$I$21,2,TRUE)</f>
        <v>27050</v>
      </c>
      <c r="G62" s="53">
        <f>ROUND(F62*0.975,-1)</f>
        <v>26370</v>
      </c>
      <c r="H62" s="53">
        <f>ROUND(F62*0.95,-1)</f>
        <v>25700</v>
      </c>
    </row>
    <row r="63" spans="1:8" ht="39" hidden="1" thickBot="1">
      <c r="A63" s="26"/>
      <c r="B63" s="27" t="s">
        <v>64</v>
      </c>
      <c r="C63" s="28" t="s">
        <v>32</v>
      </c>
      <c r="D63" s="29" t="s">
        <v>33</v>
      </c>
      <c r="E63" s="30" t="s">
        <v>34</v>
      </c>
      <c r="F63" s="31">
        <f>VLOOKUP(D63,ПГ!$G$7:$I$21,2,TRUE)</f>
        <v>7670</v>
      </c>
      <c r="G63" s="32">
        <f>ROUND(F63*0.975,-1)</f>
        <v>7480</v>
      </c>
      <c r="H63" s="32">
        <f>ROUND(F63*0.95,-1)</f>
        <v>7290</v>
      </c>
    </row>
    <row r="64" spans="1:8" s="4" customFormat="1" ht="53.25" customHeight="1" hidden="1" thickBot="1">
      <c r="A64" s="23"/>
      <c r="B64" s="40" t="s">
        <v>66</v>
      </c>
      <c r="C64" s="18" t="s">
        <v>54</v>
      </c>
      <c r="D64" s="41" t="s">
        <v>74</v>
      </c>
      <c r="E64" s="52" t="s">
        <v>52</v>
      </c>
      <c r="F64" s="25"/>
      <c r="G64" s="42"/>
      <c r="H64" s="42"/>
    </row>
    <row r="65" spans="1:8" ht="27.75" customHeight="1" hidden="1" thickBot="1">
      <c r="A65" s="43"/>
      <c r="B65" s="44"/>
      <c r="C65" s="45"/>
      <c r="D65" s="46"/>
      <c r="E65" s="47"/>
      <c r="F65" s="48"/>
      <c r="G65" s="49"/>
      <c r="H65" s="49"/>
    </row>
    <row r="66" spans="1:8" ht="38.25" customHeight="1" hidden="1" thickBot="1">
      <c r="A66" s="23">
        <f>A62+1</f>
        <v>12</v>
      </c>
      <c r="B66" s="17" t="s">
        <v>75</v>
      </c>
      <c r="C66" s="18" t="s">
        <v>14</v>
      </c>
      <c r="D66" s="24" t="s">
        <v>76</v>
      </c>
      <c r="E66" s="54" t="s">
        <v>77</v>
      </c>
      <c r="F66" s="21">
        <f>VLOOKUP(D66,ПГ!$G$7:$I$21,2,TRUE)+ПГ!H20</f>
        <v>13720</v>
      </c>
      <c r="G66" s="42">
        <f>ROUND(F66*0.975,-1)</f>
        <v>13380</v>
      </c>
      <c r="H66" s="42">
        <f>ROUND(F66*0.95,-1)</f>
        <v>13030</v>
      </c>
    </row>
    <row r="67" spans="1:8" ht="27.75" customHeight="1" hidden="1" thickBot="1">
      <c r="A67" s="23">
        <f>A66+1</f>
        <v>13</v>
      </c>
      <c r="B67" s="17"/>
      <c r="C67" s="18"/>
      <c r="D67" s="24"/>
      <c r="E67" s="54"/>
      <c r="F67" s="21"/>
      <c r="G67" s="42"/>
      <c r="H67" s="42"/>
    </row>
    <row r="68" spans="1:8" s="4" customFormat="1" ht="27.75" customHeight="1" hidden="1" thickBot="1">
      <c r="A68" s="23"/>
      <c r="B68" s="40" t="s">
        <v>78</v>
      </c>
      <c r="C68" s="18" t="s">
        <v>14</v>
      </c>
      <c r="D68" s="56" t="s">
        <v>79</v>
      </c>
      <c r="E68" s="54" t="s">
        <v>77</v>
      </c>
      <c r="F68" s="25"/>
      <c r="G68" s="42"/>
      <c r="H68" s="42"/>
    </row>
    <row r="69" spans="1:8" s="4" customFormat="1" ht="27.75" customHeight="1" hidden="1" thickBot="1">
      <c r="A69" s="23"/>
      <c r="B69" s="40" t="s">
        <v>80</v>
      </c>
      <c r="C69" s="18" t="s">
        <v>14</v>
      </c>
      <c r="D69" s="56" t="s">
        <v>81</v>
      </c>
      <c r="E69" s="54" t="s">
        <v>77</v>
      </c>
      <c r="F69" s="25"/>
      <c r="G69" s="42"/>
      <c r="H69" s="42"/>
    </row>
    <row r="70" spans="1:5" ht="27.75" customHeight="1" hidden="1">
      <c r="A70" s="57"/>
      <c r="B70" s="58"/>
      <c r="E70" s="1"/>
    </row>
    <row r="71" spans="1:5" ht="13.5" hidden="1" thickBot="1">
      <c r="A71" s="57"/>
      <c r="B71" s="58"/>
      <c r="E71" s="1"/>
    </row>
    <row r="72" spans="1:8" ht="54" customHeight="1" hidden="1" thickBot="1">
      <c r="A72" s="1064" t="s">
        <v>82</v>
      </c>
      <c r="B72" s="1064"/>
      <c r="C72" s="1064"/>
      <c r="D72" s="1064"/>
      <c r="E72" s="9" t="s">
        <v>5</v>
      </c>
      <c r="F72" s="1060" t="s">
        <v>6</v>
      </c>
      <c r="G72" s="1060"/>
      <c r="H72" s="1060"/>
    </row>
    <row r="73" spans="1:8" ht="27" customHeight="1" hidden="1" thickBot="1">
      <c r="A73" s="10" t="s">
        <v>7</v>
      </c>
      <c r="B73" s="1061" t="s">
        <v>0</v>
      </c>
      <c r="C73" s="1062" t="s">
        <v>1</v>
      </c>
      <c r="D73" s="1062" t="s">
        <v>2</v>
      </c>
      <c r="E73" s="1062" t="s">
        <v>3</v>
      </c>
      <c r="F73" s="1063" t="s">
        <v>8</v>
      </c>
      <c r="G73" s="1063"/>
      <c r="H73" s="1063"/>
    </row>
    <row r="74" spans="1:8" ht="13.5" hidden="1" thickBot="1">
      <c r="A74" s="12"/>
      <c r="B74" s="1061"/>
      <c r="C74" s="1062" t="s">
        <v>9</v>
      </c>
      <c r="D74" s="1062"/>
      <c r="E74" s="1062"/>
      <c r="F74" s="13" t="s">
        <v>10</v>
      </c>
      <c r="G74" s="14" t="s">
        <v>11</v>
      </c>
      <c r="H74" s="15" t="s">
        <v>12</v>
      </c>
    </row>
    <row r="75" spans="1:8" ht="12.75" customHeight="1" hidden="1" thickBot="1">
      <c r="A75" s="12">
        <f>A67+1</f>
        <v>14</v>
      </c>
      <c r="B75" s="17" t="s">
        <v>83</v>
      </c>
      <c r="C75" s="18" t="s">
        <v>14</v>
      </c>
      <c r="D75" s="24" t="s">
        <v>33</v>
      </c>
      <c r="E75" s="54" t="s">
        <v>77</v>
      </c>
      <c r="F75" s="21" t="e">
        <f>VLOOKUP(D75,#REF!,3,TRUE)+VLOOKUP(D75,#REF!,2,TRUE)</f>
        <v>#REF!</v>
      </c>
      <c r="G75" s="42" t="e">
        <f aca="true" t="shared" si="8" ref="G75:G81">ROUND(F75*0.975,-1)</f>
        <v>#REF!</v>
      </c>
      <c r="H75" s="42" t="e">
        <f aca="true" t="shared" si="9" ref="H75:H81">ROUND(F75*0.95,-1)</f>
        <v>#REF!</v>
      </c>
    </row>
    <row r="76" spans="1:8" ht="15" hidden="1" thickBot="1">
      <c r="A76" s="12">
        <f aca="true" t="shared" si="10" ref="A76:A81">A75+1</f>
        <v>15</v>
      </c>
      <c r="B76" s="17" t="s">
        <v>13</v>
      </c>
      <c r="C76" s="18" t="s">
        <v>14</v>
      </c>
      <c r="D76" s="59" t="s">
        <v>84</v>
      </c>
      <c r="E76" s="20" t="s">
        <v>16</v>
      </c>
      <c r="F76" s="21">
        <f>VLOOKUP(D76,ПГ!$G$7:$I$21,3,TRUE)+VLOOKUP(D76,ПГ!$G$7:$I$21,2,TRUE)</f>
        <v>11150</v>
      </c>
      <c r="G76" s="22">
        <f t="shared" si="8"/>
        <v>10870</v>
      </c>
      <c r="H76" s="22">
        <f t="shared" si="9"/>
        <v>10590</v>
      </c>
    </row>
    <row r="77" spans="1:8" ht="29.25" hidden="1" thickBot="1">
      <c r="A77" s="12">
        <f t="shared" si="10"/>
        <v>16</v>
      </c>
      <c r="B77" s="50" t="s">
        <v>56</v>
      </c>
      <c r="C77" s="51" t="s">
        <v>14</v>
      </c>
      <c r="D77" s="56" t="s">
        <v>85</v>
      </c>
      <c r="E77" s="52" t="s">
        <v>86</v>
      </c>
      <c r="F77" s="21">
        <f>VLOOKUP(D77,ПГ!$G$7:$I$21,3,TRUE)+VLOOKUP(D77,ПГ!$G$7:$I$21,2,TRUE)</f>
        <v>12820</v>
      </c>
      <c r="G77" s="53">
        <f t="shared" si="8"/>
        <v>12500</v>
      </c>
      <c r="H77" s="53">
        <f t="shared" si="9"/>
        <v>12180</v>
      </c>
    </row>
    <row r="78" spans="1:8" ht="28.5" hidden="1" thickBot="1">
      <c r="A78" s="12">
        <f t="shared" si="10"/>
        <v>17</v>
      </c>
      <c r="B78" s="50" t="s">
        <v>56</v>
      </c>
      <c r="C78" s="51" t="s">
        <v>14</v>
      </c>
      <c r="D78" s="56" t="s">
        <v>87</v>
      </c>
      <c r="E78" s="52" t="s">
        <v>68</v>
      </c>
      <c r="F78" s="21">
        <f>VLOOKUP(D78,ПГ!$G$7:$I$21,3,TRUE)+VLOOKUP(D78,ПГ!$G$7:$I$21,2,TRUE)</f>
        <v>12820</v>
      </c>
      <c r="G78" s="53">
        <f t="shared" si="8"/>
        <v>12500</v>
      </c>
      <c r="H78" s="53">
        <f t="shared" si="9"/>
        <v>12180</v>
      </c>
    </row>
    <row r="79" spans="1:8" ht="15" hidden="1" thickBot="1">
      <c r="A79" s="12">
        <f t="shared" si="10"/>
        <v>18</v>
      </c>
      <c r="B79" s="50" t="s">
        <v>56</v>
      </c>
      <c r="C79" s="51" t="s">
        <v>14</v>
      </c>
      <c r="D79" s="55" t="s">
        <v>88</v>
      </c>
      <c r="E79" s="54" t="s">
        <v>60</v>
      </c>
      <c r="F79" s="21">
        <f>VLOOKUP(D79,ПГ!$G$7:$I$21,3,TRUE)+VLOOKUP(D79,ПГ!$G$7:$I$21,2,TRUE)</f>
        <v>13740</v>
      </c>
      <c r="G79" s="53">
        <f t="shared" si="8"/>
        <v>13400</v>
      </c>
      <c r="H79" s="53">
        <f t="shared" si="9"/>
        <v>13050</v>
      </c>
    </row>
    <row r="80" spans="1:8" ht="15" hidden="1" thickBot="1">
      <c r="A80" s="12">
        <f t="shared" si="10"/>
        <v>19</v>
      </c>
      <c r="B80" s="50" t="s">
        <v>56</v>
      </c>
      <c r="C80" s="51" t="s">
        <v>14</v>
      </c>
      <c r="D80" s="55" t="s">
        <v>89</v>
      </c>
      <c r="E80" s="54" t="s">
        <v>45</v>
      </c>
      <c r="F80" s="21">
        <f>VLOOKUP(D80,ПГ!$G$7:$I$21,3,TRUE)+VLOOKUP(D80,ПГ!$G$7:$I$21,2,TRUE)</f>
        <v>14480</v>
      </c>
      <c r="G80" s="53">
        <f t="shared" si="8"/>
        <v>14120</v>
      </c>
      <c r="H80" s="53">
        <f t="shared" si="9"/>
        <v>13760</v>
      </c>
    </row>
    <row r="81" spans="1:8" ht="14.25" hidden="1" thickBot="1">
      <c r="A81" s="12">
        <f t="shared" si="10"/>
        <v>20</v>
      </c>
      <c r="B81" s="50" t="s">
        <v>56</v>
      </c>
      <c r="C81" s="51" t="s">
        <v>14</v>
      </c>
      <c r="D81" s="55" t="s">
        <v>48</v>
      </c>
      <c r="E81" s="54" t="s">
        <v>49</v>
      </c>
      <c r="F81" s="21">
        <f>VLOOKUP(D81,ПГ!$G$7:$I$21,3,TRUE)+VLOOKUP(D81,ПГ!$G$7:$I$21,2,TRUE)</f>
        <v>22450</v>
      </c>
      <c r="G81" s="53">
        <f t="shared" si="8"/>
        <v>21890</v>
      </c>
      <c r="H81" s="53">
        <f t="shared" si="9"/>
        <v>21330</v>
      </c>
    </row>
    <row r="82" ht="12.75" hidden="1">
      <c r="A82" s="60"/>
    </row>
    <row r="83" ht="12.75" hidden="1">
      <c r="A83" s="61" t="s">
        <v>90</v>
      </c>
    </row>
    <row r="84" ht="12.75" hidden="1">
      <c r="A84" s="5" t="s">
        <v>91</v>
      </c>
    </row>
    <row r="85" ht="12.75" hidden="1">
      <c r="A85" s="62" t="s">
        <v>92</v>
      </c>
    </row>
    <row r="86" ht="12.75" hidden="1">
      <c r="A86" s="62" t="s">
        <v>93</v>
      </c>
    </row>
    <row r="87" ht="13.5" hidden="1" thickBot="1">
      <c r="A87" s="63"/>
    </row>
    <row r="88" spans="1:8" ht="54.75" customHeight="1" hidden="1" thickBot="1">
      <c r="A88" s="1064" t="s">
        <v>94</v>
      </c>
      <c r="B88" s="1064"/>
      <c r="C88" s="1064"/>
      <c r="D88" s="1064"/>
      <c r="E88" s="9" t="s">
        <v>5</v>
      </c>
      <c r="F88" s="1060" t="s">
        <v>95</v>
      </c>
      <c r="G88" s="1060"/>
      <c r="H88" s="1060"/>
    </row>
    <row r="89" spans="1:8" ht="27.75" customHeight="1" hidden="1" thickBot="1">
      <c r="A89" s="10" t="s">
        <v>7</v>
      </c>
      <c r="B89" s="1061" t="s">
        <v>0</v>
      </c>
      <c r="C89" s="1062" t="s">
        <v>1</v>
      </c>
      <c r="D89" s="1062" t="s">
        <v>2</v>
      </c>
      <c r="E89" s="1062" t="s">
        <v>3</v>
      </c>
      <c r="F89" s="1063" t="s">
        <v>8</v>
      </c>
      <c r="G89" s="1063"/>
      <c r="H89" s="1063"/>
    </row>
    <row r="90" spans="1:8" ht="13.5" hidden="1" thickBot="1">
      <c r="A90" s="12"/>
      <c r="B90" s="1061"/>
      <c r="C90" s="1062" t="s">
        <v>9</v>
      </c>
      <c r="D90" s="1062"/>
      <c r="E90" s="1062"/>
      <c r="F90" s="13" t="s">
        <v>10</v>
      </c>
      <c r="G90" s="14" t="s">
        <v>11</v>
      </c>
      <c r="H90" s="15" t="s">
        <v>12</v>
      </c>
    </row>
    <row r="91" spans="1:8" ht="39" hidden="1" thickBot="1">
      <c r="A91" s="12">
        <f>A81+1</f>
        <v>21</v>
      </c>
      <c r="B91" s="17" t="s">
        <v>96</v>
      </c>
      <c r="C91" s="18" t="s">
        <v>14</v>
      </c>
      <c r="D91" s="24" t="s">
        <v>33</v>
      </c>
      <c r="E91" s="64" t="s">
        <v>97</v>
      </c>
      <c r="F91" s="21">
        <f>VLOOKUP(D91,ПГ!$L$7:$N$21,3,TRUE)+VLOOKUP(D91,ПГ!$L$7:$N$21,2,TRUE)</f>
        <v>10200</v>
      </c>
      <c r="G91" s="42">
        <f aca="true" t="shared" si="11" ref="G91:G99">ROUND(F91*0.975,-1)</f>
        <v>9950</v>
      </c>
      <c r="H91" s="42">
        <f aca="true" t="shared" si="12" ref="H91:H99">ROUND(F91*0.95,-1)</f>
        <v>9690</v>
      </c>
    </row>
    <row r="92" spans="1:8" ht="26.25" hidden="1" thickBot="1">
      <c r="A92" s="12">
        <f aca="true" t="shared" si="13" ref="A92:A99">A91+1</f>
        <v>22</v>
      </c>
      <c r="B92" s="17" t="s">
        <v>98</v>
      </c>
      <c r="C92" s="18" t="s">
        <v>14</v>
      </c>
      <c r="D92" s="65" t="s">
        <v>36</v>
      </c>
      <c r="E92" s="64" t="s">
        <v>97</v>
      </c>
      <c r="F92" s="21">
        <f>VLOOKUP(D92,ПГ!$L$7:$N$21,3,TRUE)+VLOOKUP(D92,ПГ!$L$7:$N$21,2,TRUE)</f>
        <v>23040</v>
      </c>
      <c r="G92" s="42">
        <f t="shared" si="11"/>
        <v>22460</v>
      </c>
      <c r="H92" s="42">
        <f t="shared" si="12"/>
        <v>21890</v>
      </c>
    </row>
    <row r="93" spans="1:8" ht="27.75" hidden="1" thickBot="1">
      <c r="A93" s="12">
        <f t="shared" si="13"/>
        <v>23</v>
      </c>
      <c r="B93" s="66" t="s">
        <v>99</v>
      </c>
      <c r="C93" s="18" t="s">
        <v>14</v>
      </c>
      <c r="D93" s="10" t="s">
        <v>100</v>
      </c>
      <c r="E93" s="64" t="s">
        <v>101</v>
      </c>
      <c r="F93" s="21">
        <f>VLOOKUP(D93,ПГ!$L$7:$N$21,3,TRUE)+VLOOKUP(D93,ПГ!$L$7:$N$21,2,TRUE)</f>
        <v>11800</v>
      </c>
      <c r="G93" s="42">
        <f t="shared" si="11"/>
        <v>11510</v>
      </c>
      <c r="H93" s="42">
        <f t="shared" si="12"/>
        <v>11210</v>
      </c>
    </row>
    <row r="94" spans="1:8" ht="26.25" hidden="1" thickBot="1">
      <c r="A94" s="12">
        <f t="shared" si="13"/>
        <v>24</v>
      </c>
      <c r="B94" s="67" t="s">
        <v>102</v>
      </c>
      <c r="C94" s="51" t="s">
        <v>14</v>
      </c>
      <c r="D94" s="10" t="s">
        <v>103</v>
      </c>
      <c r="E94" s="54" t="s">
        <v>104</v>
      </c>
      <c r="F94" s="21">
        <f>VLOOKUP(D94,ПГ!$L$7:$N$21,3,TRUE)+VLOOKUP(D94,ПГ!$L$7:$N$21,2,TRUE)</f>
        <v>13740</v>
      </c>
      <c r="G94" s="42">
        <f t="shared" si="11"/>
        <v>13400</v>
      </c>
      <c r="H94" s="42">
        <f t="shared" si="12"/>
        <v>13050</v>
      </c>
    </row>
    <row r="95" spans="1:8" ht="29.25" hidden="1" thickBot="1">
      <c r="A95" s="12">
        <f t="shared" si="13"/>
        <v>25</v>
      </c>
      <c r="B95" s="50" t="s">
        <v>105</v>
      </c>
      <c r="C95" s="51" t="s">
        <v>14</v>
      </c>
      <c r="D95" s="10" t="s">
        <v>106</v>
      </c>
      <c r="E95" s="52" t="s">
        <v>107</v>
      </c>
      <c r="F95" s="21">
        <f>VLOOKUP(D95,ПГ!$L$7:$N$21,3,TRUE)+VLOOKUP(D95,ПГ!$L$7:$N$21,2,TRUE)</f>
        <v>12820</v>
      </c>
      <c r="G95" s="42">
        <f t="shared" si="11"/>
        <v>12500</v>
      </c>
      <c r="H95" s="42">
        <f t="shared" si="12"/>
        <v>12180</v>
      </c>
    </row>
    <row r="96" spans="1:8" ht="28.5" hidden="1" thickBot="1">
      <c r="A96" s="12">
        <f t="shared" si="13"/>
        <v>26</v>
      </c>
      <c r="B96" s="50" t="s">
        <v>105</v>
      </c>
      <c r="C96" s="51" t="s">
        <v>14</v>
      </c>
      <c r="D96" s="10" t="s">
        <v>108</v>
      </c>
      <c r="E96" s="52" t="s">
        <v>109</v>
      </c>
      <c r="F96" s="21">
        <f>VLOOKUP(D96,ПГ!$L$7:$N$21,3,TRUE)+VLOOKUP(D96,ПГ!$L$7:$N$21,2,TRUE)</f>
        <v>12820</v>
      </c>
      <c r="G96" s="42">
        <f t="shared" si="11"/>
        <v>12500</v>
      </c>
      <c r="H96" s="42">
        <f>ROUND(F96*0.95,-1)</f>
        <v>12180</v>
      </c>
    </row>
    <row r="97" spans="1:8" ht="27.75" hidden="1" thickBot="1">
      <c r="A97" s="68">
        <f t="shared" si="13"/>
        <v>27</v>
      </c>
      <c r="B97" s="69" t="s">
        <v>110</v>
      </c>
      <c r="C97" s="70" t="s">
        <v>14</v>
      </c>
      <c r="D97" s="71" t="s">
        <v>111</v>
      </c>
      <c r="E97" s="72" t="s">
        <v>112</v>
      </c>
      <c r="F97" s="73" t="e">
        <f>VLOOKUP(D97,ПГ!$L$7:$N$21,3,TRUE)+VLOOKUP(D97,ПГ!$L$7:$N$21,2,TRUE)</f>
        <v>#VALUE!</v>
      </c>
      <c r="G97" s="74" t="e">
        <f t="shared" si="11"/>
        <v>#VALUE!</v>
      </c>
      <c r="H97" s="74" t="e">
        <f t="shared" si="12"/>
        <v>#VALUE!</v>
      </c>
    </row>
    <row r="98" spans="1:8" ht="27.75" hidden="1" thickBot="1">
      <c r="A98" s="12">
        <f t="shared" si="13"/>
        <v>28</v>
      </c>
      <c r="B98" s="66" t="s">
        <v>113</v>
      </c>
      <c r="C98" s="51" t="s">
        <v>14</v>
      </c>
      <c r="D98" s="11" t="s">
        <v>114</v>
      </c>
      <c r="E98" s="64" t="s">
        <v>115</v>
      </c>
      <c r="F98" s="21">
        <f>VLOOKUP(D98,ПГ!$L$7:$N$21,3,TRUE)+VLOOKUP(D98,ПГ!$L$7:$N$21,2,TRUE)</f>
        <v>27050</v>
      </c>
      <c r="G98" s="42">
        <f t="shared" si="11"/>
        <v>26370</v>
      </c>
      <c r="H98" s="42">
        <f t="shared" si="12"/>
        <v>25700</v>
      </c>
    </row>
    <row r="99" spans="1:8" ht="26.25" hidden="1" thickBot="1">
      <c r="A99" s="12">
        <f t="shared" si="13"/>
        <v>29</v>
      </c>
      <c r="B99" s="50" t="s">
        <v>116</v>
      </c>
      <c r="C99" s="51" t="s">
        <v>14</v>
      </c>
      <c r="D99" s="75" t="s">
        <v>117</v>
      </c>
      <c r="E99" s="52" t="s">
        <v>118</v>
      </c>
      <c r="F99" s="76">
        <f>VLOOKUP(D99,ПГ!$L$7:$N$21,3,TRUE)+VLOOKUP(D99,ПГ!$L$7:$N$21,2,TRUE)</f>
        <v>26980</v>
      </c>
      <c r="G99" s="42">
        <f t="shared" si="11"/>
        <v>26310</v>
      </c>
      <c r="H99" s="42">
        <f t="shared" si="12"/>
        <v>25630</v>
      </c>
    </row>
    <row r="100" ht="12.75" hidden="1">
      <c r="E100" s="1"/>
    </row>
    <row r="101" spans="1:5" ht="12.75" hidden="1">
      <c r="A101" s="62" t="s">
        <v>119</v>
      </c>
      <c r="E101" s="1"/>
    </row>
    <row r="102" spans="1:2" ht="38.25" hidden="1">
      <c r="A102" s="77"/>
      <c r="B102" s="78" t="s">
        <v>120</v>
      </c>
    </row>
    <row r="103" ht="12.75" hidden="1"/>
    <row r="104" ht="16.5" hidden="1" thickBot="1">
      <c r="A104" s="77"/>
    </row>
    <row r="105" spans="1:8" ht="52.5" customHeight="1" hidden="1" thickBot="1">
      <c r="A105" s="1065" t="s">
        <v>121</v>
      </c>
      <c r="B105" s="1065"/>
      <c r="C105" s="1065"/>
      <c r="D105" s="1065"/>
      <c r="E105" s="9" t="s">
        <v>5</v>
      </c>
      <c r="F105" s="1060" t="s">
        <v>122</v>
      </c>
      <c r="G105" s="1060"/>
      <c r="H105" s="1060"/>
    </row>
    <row r="106" spans="1:8" ht="24.75" customHeight="1" hidden="1" thickBot="1">
      <c r="A106" s="10" t="s">
        <v>7</v>
      </c>
      <c r="B106" s="1061" t="s">
        <v>0</v>
      </c>
      <c r="C106" s="1062" t="s">
        <v>1</v>
      </c>
      <c r="D106" s="1062" t="s">
        <v>2</v>
      </c>
      <c r="E106" s="1062" t="s">
        <v>3</v>
      </c>
      <c r="F106" s="1063" t="s">
        <v>8</v>
      </c>
      <c r="G106" s="1063"/>
      <c r="H106" s="1063"/>
    </row>
    <row r="107" spans="1:8" ht="13.5" hidden="1" thickBot="1">
      <c r="A107" s="12"/>
      <c r="B107" s="1061"/>
      <c r="C107" s="1062" t="s">
        <v>9</v>
      </c>
      <c r="D107" s="1062"/>
      <c r="E107" s="1062"/>
      <c r="F107" s="13" t="s">
        <v>10</v>
      </c>
      <c r="G107" s="14" t="s">
        <v>11</v>
      </c>
      <c r="H107" s="15" t="s">
        <v>12</v>
      </c>
    </row>
    <row r="108" spans="1:8" ht="27.75" hidden="1" thickBot="1">
      <c r="A108" s="12">
        <f>A99+1</f>
        <v>30</v>
      </c>
      <c r="B108" s="79" t="s">
        <v>123</v>
      </c>
      <c r="C108" s="18" t="s">
        <v>14</v>
      </c>
      <c r="D108" s="10" t="s">
        <v>100</v>
      </c>
      <c r="E108" s="64" t="s">
        <v>101</v>
      </c>
      <c r="F108" s="21">
        <f>VLOOKUP(D108,ПГ!$L$7:$N$21,3,TRUE)+VLOOKUP(D108,ПГ!$L$7:$N$21,2,TRUE)+ПГ!$M$22</f>
        <v>15275</v>
      </c>
      <c r="G108" s="42">
        <f>ROUND(F108*0.975,-1)</f>
        <v>14890</v>
      </c>
      <c r="H108" s="42">
        <f>ROUND(F108*0.95,-1)</f>
        <v>14510</v>
      </c>
    </row>
    <row r="109" spans="1:8" ht="37.5" hidden="1" thickBot="1">
      <c r="A109" s="26"/>
      <c r="B109" s="80" t="s">
        <v>124</v>
      </c>
      <c r="C109" s="28" t="s">
        <v>14</v>
      </c>
      <c r="D109" s="29" t="s">
        <v>125</v>
      </c>
      <c r="E109" s="30" t="s">
        <v>97</v>
      </c>
      <c r="F109" s="31">
        <f>VLOOKUP(D109,ПГ!$L$7:$N$21,2,TRUE)+ПГ!$M$23-ПГ!$M$22</f>
        <v>9015</v>
      </c>
      <c r="G109" s="32">
        <f>ROUND(F109*0.975,-1)</f>
        <v>8790</v>
      </c>
      <c r="H109" s="32">
        <f>ROUND(F109*0.95,-1)</f>
        <v>8560</v>
      </c>
    </row>
    <row r="110" spans="1:8" ht="29.25" hidden="1" thickBot="1">
      <c r="A110" s="33"/>
      <c r="B110" s="34" t="s">
        <v>126</v>
      </c>
      <c r="C110" s="35" t="s">
        <v>14</v>
      </c>
      <c r="D110" s="81" t="s">
        <v>106</v>
      </c>
      <c r="E110" s="37" t="s">
        <v>107</v>
      </c>
      <c r="F110" s="38">
        <f>VLOOKUP(D110,ПГ!$L$7:$N$21,2,TRUE)+ПГ!$M$23-ПГ!$M$22</f>
        <v>11635</v>
      </c>
      <c r="G110" s="39">
        <f>ROUND(F110*0.975,-1)</f>
        <v>11340</v>
      </c>
      <c r="H110" s="39">
        <f>ROUND(F110*0.95,-1)</f>
        <v>11050</v>
      </c>
    </row>
    <row r="111" spans="1:8" ht="28.5" hidden="1" thickBot="1">
      <c r="A111" s="33"/>
      <c r="B111" s="82" t="s">
        <v>127</v>
      </c>
      <c r="C111" s="35" t="s">
        <v>14</v>
      </c>
      <c r="D111" s="81" t="s">
        <v>128</v>
      </c>
      <c r="E111" s="37" t="s">
        <v>109</v>
      </c>
      <c r="F111" s="38">
        <f>VLOOKUP(D111,ПГ!$L$7:$N$21,2,TRUE)+ПГ!$M$23-ПГ!$M$22</f>
        <v>11635</v>
      </c>
      <c r="G111" s="39">
        <f>ROUND(F111*0.975,-1)</f>
        <v>11340</v>
      </c>
      <c r="H111" s="39">
        <f>ROUND(F111*0.95,-1)</f>
        <v>11050</v>
      </c>
    </row>
    <row r="112" spans="1:8" ht="14.25" hidden="1" thickBot="1">
      <c r="A112" s="33"/>
      <c r="B112" s="82" t="s">
        <v>127</v>
      </c>
      <c r="C112" s="35" t="s">
        <v>14</v>
      </c>
      <c r="D112" s="83" t="s">
        <v>88</v>
      </c>
      <c r="E112" s="37" t="s">
        <v>104</v>
      </c>
      <c r="F112" s="38">
        <f>VLOOKUP(D112,ПГ!$L$7:$N$21,2,TRUE)+ПГ!$M$23-ПГ!$M$22</f>
        <v>12785</v>
      </c>
      <c r="G112" s="39">
        <f>ROUND(F112*0.975,-1)</f>
        <v>12470</v>
      </c>
      <c r="H112" s="39">
        <f>ROUND(F112*0.95,-1)</f>
        <v>12150</v>
      </c>
    </row>
    <row r="113" spans="1:8" s="4" customFormat="1" ht="84" customHeight="1" hidden="1" thickBot="1">
      <c r="A113" s="23"/>
      <c r="B113" s="40" t="s">
        <v>129</v>
      </c>
      <c r="C113" s="18" t="s">
        <v>32</v>
      </c>
      <c r="D113" s="41" t="s">
        <v>55</v>
      </c>
      <c r="E113" s="20" t="s">
        <v>16</v>
      </c>
      <c r="F113" s="25"/>
      <c r="G113" s="42"/>
      <c r="H113" s="42"/>
    </row>
    <row r="114" spans="1:8" ht="7.5" customHeight="1" hidden="1" thickBot="1">
      <c r="A114" s="43"/>
      <c r="B114" s="44"/>
      <c r="C114" s="45"/>
      <c r="D114" s="46"/>
      <c r="E114" s="47"/>
      <c r="F114" s="48"/>
      <c r="G114" s="49"/>
      <c r="H114" s="49"/>
    </row>
    <row r="115" spans="1:8" ht="37.5" hidden="1" thickBot="1">
      <c r="A115" s="12">
        <f>A108+1</f>
        <v>31</v>
      </c>
      <c r="B115" s="17" t="s">
        <v>130</v>
      </c>
      <c r="C115" s="18" t="s">
        <v>14</v>
      </c>
      <c r="D115" s="24" t="s">
        <v>125</v>
      </c>
      <c r="E115" s="64" t="s">
        <v>97</v>
      </c>
      <c r="F115" s="21">
        <f>VLOOKUP(D115,ПГ!$L$7:$N$21,3,TRUE)+VLOOKUP(D115,ПГ!$L$7:$N$21,2,TRUE)+ПГ!$M$22</f>
        <v>13675</v>
      </c>
      <c r="G115" s="42">
        <f>ROUND(F115*0.975,-1)</f>
        <v>13330</v>
      </c>
      <c r="H115" s="42">
        <f>ROUND(F115*0.95,-1)</f>
        <v>12990</v>
      </c>
    </row>
    <row r="116" spans="1:8" ht="29.25" hidden="1" thickBot="1">
      <c r="A116" s="33"/>
      <c r="B116" s="34" t="s">
        <v>131</v>
      </c>
      <c r="C116" s="35" t="s">
        <v>14</v>
      </c>
      <c r="D116" s="81" t="s">
        <v>106</v>
      </c>
      <c r="E116" s="37" t="s">
        <v>107</v>
      </c>
      <c r="F116" s="38">
        <f>VLOOKUP(D116,ПГ!$L$7:$N$21,2,TRUE)+ПГ!$M$23-ПГ!$M$22</f>
        <v>11635</v>
      </c>
      <c r="G116" s="39">
        <f>ROUND(F116*0.975,-1)</f>
        <v>11340</v>
      </c>
      <c r="H116" s="39">
        <f>ROUND(F116*0.95,-1)</f>
        <v>11050</v>
      </c>
    </row>
    <row r="117" spans="1:8" ht="28.5" hidden="1" thickBot="1">
      <c r="A117" s="33"/>
      <c r="B117" s="82" t="s">
        <v>127</v>
      </c>
      <c r="C117" s="35"/>
      <c r="D117" s="81" t="s">
        <v>128</v>
      </c>
      <c r="E117" s="37" t="s">
        <v>109</v>
      </c>
      <c r="F117" s="38">
        <f>VLOOKUP(D117,ПГ!$L$7:$N$21,2,TRUE)+ПГ!$M$23-ПГ!$M$22</f>
        <v>11635</v>
      </c>
      <c r="G117" s="39">
        <f>ROUND(F117*0.975,-1)</f>
        <v>11340</v>
      </c>
      <c r="H117" s="39">
        <f>ROUND(F117*0.95,-1)</f>
        <v>11050</v>
      </c>
    </row>
    <row r="118" spans="1:8" ht="14.25" hidden="1" thickBot="1">
      <c r="A118" s="33"/>
      <c r="B118" s="82" t="s">
        <v>127</v>
      </c>
      <c r="C118" s="35" t="s">
        <v>14</v>
      </c>
      <c r="D118" s="83" t="s">
        <v>88</v>
      </c>
      <c r="E118" s="37" t="s">
        <v>104</v>
      </c>
      <c r="F118" s="38">
        <f>VLOOKUP(D118,ПГ!$L$7:$N$21,2,TRUE)+ПГ!$M$23-ПГ!$M$22</f>
        <v>12785</v>
      </c>
      <c r="G118" s="39">
        <f>ROUND(F118*0.975,-1)</f>
        <v>12470</v>
      </c>
      <c r="H118" s="39">
        <f>ROUND(F118*0.95,-1)</f>
        <v>12150</v>
      </c>
    </row>
    <row r="119" spans="1:8" s="4" customFormat="1" ht="84" customHeight="1" hidden="1" thickBot="1">
      <c r="A119" s="23"/>
      <c r="B119" s="40" t="s">
        <v>129</v>
      </c>
      <c r="C119" s="18" t="s">
        <v>10</v>
      </c>
      <c r="D119" s="56" t="s">
        <v>132</v>
      </c>
      <c r="E119" s="64" t="s">
        <v>97</v>
      </c>
      <c r="F119" s="25"/>
      <c r="G119" s="42"/>
      <c r="H119" s="42"/>
    </row>
    <row r="120" spans="1:8" ht="7.5" customHeight="1" hidden="1" thickBot="1">
      <c r="A120" s="43"/>
      <c r="B120" s="44"/>
      <c r="C120" s="45"/>
      <c r="D120" s="46"/>
      <c r="E120" s="47"/>
      <c r="F120" s="48"/>
      <c r="G120" s="49"/>
      <c r="H120" s="49"/>
    </row>
    <row r="121" spans="1:8" ht="29.25" hidden="1" thickBot="1">
      <c r="A121" s="12">
        <f>A115+1</f>
        <v>32</v>
      </c>
      <c r="B121" s="50" t="s">
        <v>133</v>
      </c>
      <c r="C121" s="51" t="s">
        <v>14</v>
      </c>
      <c r="D121" s="84" t="s">
        <v>106</v>
      </c>
      <c r="E121" s="54" t="s">
        <v>107</v>
      </c>
      <c r="F121" s="21">
        <f>VLOOKUP(D121,ПГ!$L$7:$N$21,3,TRUE)+VLOOKUP(D121,ПГ!$L$7:$N$21,2,TRUE)+ПГ!$M$22</f>
        <v>16295</v>
      </c>
      <c r="G121" s="42">
        <f>ROUND(F121*0.975,-1)</f>
        <v>15890</v>
      </c>
      <c r="H121" s="42">
        <f>ROUND(F121*0.95,-1)</f>
        <v>15480</v>
      </c>
    </row>
    <row r="122" spans="1:8" ht="28.5" hidden="1" thickBot="1">
      <c r="A122" s="12">
        <f>A121+1</f>
        <v>33</v>
      </c>
      <c r="B122" s="50" t="s">
        <v>133</v>
      </c>
      <c r="C122" s="51" t="s">
        <v>14</v>
      </c>
      <c r="D122" s="84" t="s">
        <v>128</v>
      </c>
      <c r="E122" s="54" t="s">
        <v>109</v>
      </c>
      <c r="F122" s="21">
        <f>VLOOKUP(D122,ПГ!$L$7:$N$21,3,TRUE)+VLOOKUP(D122,ПГ!$L$7:$N$21,2,TRUE)+ПГ!$M$22</f>
        <v>16295</v>
      </c>
      <c r="G122" s="42">
        <f>ROUND(F122*0.975,-1)</f>
        <v>15890</v>
      </c>
      <c r="H122" s="42">
        <f>ROUND(F122*0.95,-1)</f>
        <v>15480</v>
      </c>
    </row>
    <row r="123" spans="1:8" ht="26.25" hidden="1" thickBot="1">
      <c r="A123" s="12">
        <f>A122+1</f>
        <v>34</v>
      </c>
      <c r="B123" s="67" t="s">
        <v>102</v>
      </c>
      <c r="C123" s="51" t="s">
        <v>14</v>
      </c>
      <c r="D123" s="10" t="s">
        <v>103</v>
      </c>
      <c r="E123" s="54" t="s">
        <v>104</v>
      </c>
      <c r="F123" s="21">
        <f>VLOOKUP(D123,ПГ!$L$7:$N$21,3,TRUE)+VLOOKUP(D123,ПГ!$L$7:$N$21,2,TRUE)+ПГ!$M$22</f>
        <v>17215</v>
      </c>
      <c r="G123" s="42">
        <f>ROUND(F123*0.975,-1)</f>
        <v>16780</v>
      </c>
      <c r="H123" s="42">
        <f>ROUND(F123*0.95,-1)</f>
        <v>16350</v>
      </c>
    </row>
    <row r="124" spans="1:8" ht="18" hidden="1" thickBot="1">
      <c r="A124" s="23">
        <f>A123+1</f>
        <v>35</v>
      </c>
      <c r="B124" s="67" t="s">
        <v>134</v>
      </c>
      <c r="C124" s="85" t="s">
        <v>14</v>
      </c>
      <c r="D124" s="86" t="s">
        <v>111</v>
      </c>
      <c r="E124" s="54" t="s">
        <v>112</v>
      </c>
      <c r="F124" s="25" t="e">
        <f>VLOOKUP(D124,ПГ!$L$7:$N$21,3,TRUE)+VLOOKUP(D124,ПГ!$L$7:$N$21,2,TRUE)+ПГ!$M$22</f>
        <v>#VALUE!</v>
      </c>
      <c r="G124" s="42" t="e">
        <f>ROUND(F124*0.975,-1)</f>
        <v>#VALUE!</v>
      </c>
      <c r="H124" s="42" t="e">
        <f>ROUND(F124*0.95,-1)</f>
        <v>#VALUE!</v>
      </c>
    </row>
    <row r="125" spans="1:8" s="4" customFormat="1" ht="84" customHeight="1" hidden="1" thickBot="1">
      <c r="A125" s="23"/>
      <c r="B125" s="40" t="s">
        <v>129</v>
      </c>
      <c r="C125" s="18" t="s">
        <v>14</v>
      </c>
      <c r="D125" s="41"/>
      <c r="E125" s="20"/>
      <c r="F125" s="25"/>
      <c r="G125" s="42"/>
      <c r="H125" s="42"/>
    </row>
    <row r="126" ht="12.75" hidden="1">
      <c r="E126" s="1"/>
    </row>
    <row r="127" ht="12.75" hidden="1">
      <c r="E127" s="1"/>
    </row>
    <row r="128" ht="15.75" hidden="1">
      <c r="A128" s="77"/>
    </row>
    <row r="129" spans="1:8" s="4" customFormat="1" ht="93.75" customHeight="1" hidden="1">
      <c r="A129" s="77"/>
      <c r="B129" s="1"/>
      <c r="C129" s="1"/>
      <c r="D129" s="1"/>
      <c r="E129" s="2"/>
      <c r="F129" s="536"/>
      <c r="G129" s="1"/>
      <c r="H129" s="1"/>
    </row>
    <row r="130" ht="15.75" hidden="1">
      <c r="A130" s="77"/>
    </row>
    <row r="131" ht="15.75" hidden="1">
      <c r="A131" s="77"/>
    </row>
    <row r="132" ht="16.5" hidden="1" thickBot="1">
      <c r="A132" s="77"/>
    </row>
    <row r="133" spans="1:8" ht="13.5" customHeight="1" hidden="1" thickBot="1">
      <c r="A133" s="1066" t="s">
        <v>135</v>
      </c>
      <c r="B133" s="1066"/>
      <c r="C133" s="1066"/>
      <c r="D133" s="1066"/>
      <c r="E133" s="87" t="s">
        <v>136</v>
      </c>
      <c r="F133" s="1067" t="s">
        <v>137</v>
      </c>
      <c r="G133" s="1067"/>
      <c r="H133" s="1067"/>
    </row>
    <row r="134" spans="1:8" ht="33" customHeight="1" hidden="1" thickBot="1">
      <c r="A134" s="10" t="s">
        <v>7</v>
      </c>
      <c r="B134" s="1061" t="s">
        <v>0</v>
      </c>
      <c r="C134" s="1062" t="s">
        <v>1</v>
      </c>
      <c r="D134" s="1062" t="s">
        <v>2</v>
      </c>
      <c r="E134" s="1062" t="s">
        <v>3</v>
      </c>
      <c r="F134" s="1063" t="s">
        <v>8</v>
      </c>
      <c r="G134" s="1063"/>
      <c r="H134" s="1063"/>
    </row>
    <row r="135" spans="1:8" ht="18.75" customHeight="1" hidden="1" thickBot="1">
      <c r="A135" s="12"/>
      <c r="B135" s="1061"/>
      <c r="C135" s="1062" t="s">
        <v>9</v>
      </c>
      <c r="D135" s="1062"/>
      <c r="E135" s="1062"/>
      <c r="F135" s="13" t="s">
        <v>10</v>
      </c>
      <c r="G135" s="14" t="s">
        <v>11</v>
      </c>
      <c r="H135" s="15" t="s">
        <v>12</v>
      </c>
    </row>
    <row r="136" spans="1:8" ht="36.75" hidden="1" thickBot="1">
      <c r="A136" s="43"/>
      <c r="B136" s="88" t="s">
        <v>138</v>
      </c>
      <c r="C136" s="89"/>
      <c r="D136" s="90"/>
      <c r="E136" s="47"/>
      <c r="F136" s="48"/>
      <c r="G136" s="49"/>
      <c r="H136" s="49"/>
    </row>
    <row r="137" spans="1:8" ht="36" customHeight="1" hidden="1" thickBot="1">
      <c r="A137" s="12">
        <f>A123+1</f>
        <v>35</v>
      </c>
      <c r="B137" s="67" t="s">
        <v>139</v>
      </c>
      <c r="C137" s="85" t="s">
        <v>14</v>
      </c>
      <c r="D137" s="91" t="s">
        <v>136</v>
      </c>
      <c r="E137" s="92" t="s">
        <v>140</v>
      </c>
      <c r="F137" s="21">
        <f>VLOOKUP(D137,СГ1!$A$4:$I$23,6,TRUE)</f>
        <v>8690</v>
      </c>
      <c r="G137" s="42">
        <f aca="true" t="shared" si="14" ref="G137:G143">ROUND(F137*0.975,-1)</f>
        <v>8470</v>
      </c>
      <c r="H137" s="42">
        <f aca="true" t="shared" si="15" ref="H137:H143">ROUND(F137*0.95,-1)</f>
        <v>8260</v>
      </c>
    </row>
    <row r="138" spans="1:8" ht="22.5" customHeight="1" hidden="1" thickBot="1">
      <c r="A138" s="12"/>
      <c r="B138" s="93" t="s">
        <v>141</v>
      </c>
      <c r="C138" s="85" t="s">
        <v>14</v>
      </c>
      <c r="D138" s="91" t="s">
        <v>136</v>
      </c>
      <c r="E138" s="92" t="s">
        <v>140</v>
      </c>
      <c r="F138" s="21">
        <f>VLOOKUP(D138,СГ1!$A$4:$I$23,2,TRUE)</f>
        <v>8690</v>
      </c>
      <c r="G138" s="94">
        <f t="shared" si="14"/>
        <v>8470</v>
      </c>
      <c r="H138" s="94">
        <f t="shared" si="15"/>
        <v>8260</v>
      </c>
    </row>
    <row r="139" spans="1:8" ht="36" customHeight="1" hidden="1" thickBot="1">
      <c r="A139" s="12">
        <f>A137+1</f>
        <v>36</v>
      </c>
      <c r="B139" s="67" t="s">
        <v>142</v>
      </c>
      <c r="C139" s="85" t="s">
        <v>14</v>
      </c>
      <c r="D139" s="41" t="s">
        <v>143</v>
      </c>
      <c r="E139" s="54" t="s">
        <v>97</v>
      </c>
      <c r="F139" s="21">
        <f>VLOOKUP(D139,СГ1!$A$4:$I$23,6,TRUE)</f>
        <v>7570</v>
      </c>
      <c r="G139" s="42">
        <f t="shared" si="14"/>
        <v>7380</v>
      </c>
      <c r="H139" s="42">
        <f t="shared" si="15"/>
        <v>7190</v>
      </c>
    </row>
    <row r="140" spans="1:8" ht="36" customHeight="1" hidden="1" thickBot="1">
      <c r="A140" s="12"/>
      <c r="B140" s="93" t="s">
        <v>141</v>
      </c>
      <c r="C140" s="85" t="s">
        <v>14</v>
      </c>
      <c r="D140" s="41" t="s">
        <v>143</v>
      </c>
      <c r="E140" s="54" t="s">
        <v>97</v>
      </c>
      <c r="F140" s="21">
        <f>VLOOKUP(D140,СГ1!$A$4:$I$23,2,TRUE)</f>
        <v>6550</v>
      </c>
      <c r="G140" s="42">
        <f t="shared" si="14"/>
        <v>6390</v>
      </c>
      <c r="H140" s="42">
        <f t="shared" si="15"/>
        <v>6220</v>
      </c>
    </row>
    <row r="141" spans="1:8" ht="24" customHeight="1" hidden="1" thickBot="1">
      <c r="A141" s="12">
        <f>A139+1</f>
        <v>37</v>
      </c>
      <c r="B141" s="67" t="s">
        <v>144</v>
      </c>
      <c r="C141" s="85" t="s">
        <v>14</v>
      </c>
      <c r="D141" s="24" t="s">
        <v>145</v>
      </c>
      <c r="E141" s="54" t="s">
        <v>97</v>
      </c>
      <c r="F141" s="21">
        <f>VLOOKUP(D141,СГ1!$A$4:$I$23,6,TRUE)</f>
        <v>9040</v>
      </c>
      <c r="G141" s="42">
        <f t="shared" si="14"/>
        <v>8810</v>
      </c>
      <c r="H141" s="42">
        <f t="shared" si="15"/>
        <v>8590</v>
      </c>
    </row>
    <row r="142" spans="1:8" ht="24" customHeight="1" hidden="1" thickBot="1">
      <c r="A142" s="12"/>
      <c r="B142" s="93" t="s">
        <v>141</v>
      </c>
      <c r="C142" s="85" t="s">
        <v>14</v>
      </c>
      <c r="D142" s="24" t="s">
        <v>145</v>
      </c>
      <c r="E142" s="54" t="s">
        <v>97</v>
      </c>
      <c r="F142" s="21">
        <f>VLOOKUP(D142,СГ1!$A$4:$I$23,2,TRUE)</f>
        <v>8060</v>
      </c>
      <c r="G142" s="42">
        <f t="shared" si="14"/>
        <v>7860</v>
      </c>
      <c r="H142" s="42">
        <f t="shared" si="15"/>
        <v>7660</v>
      </c>
    </row>
    <row r="143" spans="1:8" ht="25.5" customHeight="1" hidden="1" thickBot="1">
      <c r="A143" s="12">
        <f>A141+1</f>
        <v>38</v>
      </c>
      <c r="B143" s="67" t="s">
        <v>146</v>
      </c>
      <c r="C143" s="85" t="s">
        <v>18</v>
      </c>
      <c r="D143" s="41" t="s">
        <v>147</v>
      </c>
      <c r="E143" s="52" t="s">
        <v>148</v>
      </c>
      <c r="F143" s="21">
        <f>VLOOKUP(D143,СГ1!$A$4:$I$23,6,TRUE)</f>
        <v>17190</v>
      </c>
      <c r="G143" s="42">
        <f t="shared" si="14"/>
        <v>16760</v>
      </c>
      <c r="H143" s="42">
        <f t="shared" si="15"/>
        <v>16330</v>
      </c>
    </row>
    <row r="144" spans="1:8" ht="41.25" customHeight="1" hidden="1" thickBot="1">
      <c r="A144" s="43"/>
      <c r="B144" s="88" t="s">
        <v>149</v>
      </c>
      <c r="C144" s="89"/>
      <c r="D144" s="90"/>
      <c r="E144" s="47"/>
      <c r="F144" s="48"/>
      <c r="G144" s="49"/>
      <c r="H144" s="49"/>
    </row>
    <row r="145" spans="1:8" ht="36" customHeight="1" hidden="1" thickBot="1">
      <c r="A145" s="11">
        <f>A143+1</f>
        <v>39</v>
      </c>
      <c r="B145" s="95" t="s">
        <v>139</v>
      </c>
      <c r="C145" s="96" t="s">
        <v>14</v>
      </c>
      <c r="D145" s="41" t="s">
        <v>136</v>
      </c>
      <c r="E145" s="92" t="s">
        <v>140</v>
      </c>
      <c r="F145" s="97">
        <f>VLOOKUP(D145,СГ1!$A$4:$I$23,3,TRUE)+VLOOKUP(D145,СГ1!$A$4:$I$23,2,TRUE)</f>
        <v>13270</v>
      </c>
      <c r="G145" s="94">
        <f>ROUND(F145*0.975,-1)</f>
        <v>12940</v>
      </c>
      <c r="H145" s="94">
        <f>ROUND(F145*0.95,-1)</f>
        <v>12610</v>
      </c>
    </row>
    <row r="146" spans="1:11" ht="24.75" customHeight="1" hidden="1" thickBot="1">
      <c r="A146" s="98"/>
      <c r="B146" s="99" t="s">
        <v>150</v>
      </c>
      <c r="C146" s="100"/>
      <c r="D146" s="100"/>
      <c r="E146" s="54"/>
      <c r="F146" s="97">
        <f>СГ1!C24</f>
        <v>2150</v>
      </c>
      <c r="G146" s="94"/>
      <c r="H146" s="94"/>
      <c r="J146" s="101" t="s">
        <v>151</v>
      </c>
      <c r="K146" s="85" t="s">
        <v>152</v>
      </c>
    </row>
    <row r="147" spans="1:16" ht="26.25" customHeight="1" hidden="1" thickBot="1">
      <c r="A147" s="98"/>
      <c r="B147" s="93" t="s">
        <v>141</v>
      </c>
      <c r="C147" s="96" t="s">
        <v>153</v>
      </c>
      <c r="D147" s="100" t="s">
        <v>136</v>
      </c>
      <c r="E147" s="92" t="s">
        <v>140</v>
      </c>
      <c r="F147" s="97">
        <f>VLOOKUP(D147,СГ1!$A$4:$I$23,2,TRUE)</f>
        <v>8690</v>
      </c>
      <c r="G147" s="94">
        <f>ROUND(F147*0.975,-1)</f>
        <v>8470</v>
      </c>
      <c r="H147" s="94">
        <f>ROUND(F147*0.95,-1)</f>
        <v>8260</v>
      </c>
      <c r="J147" s="101" t="s">
        <v>154</v>
      </c>
      <c r="K147" s="85" t="s">
        <v>155</v>
      </c>
      <c r="L147" s="100" t="s">
        <v>136</v>
      </c>
      <c r="M147" s="92" t="s">
        <v>140</v>
      </c>
      <c r="N147" s="97">
        <f>VLOOKUP(L147,СГ1!$A$4:$I$23,4,TRUE)+VLOOKUP(L147,СГ1!$A$4:$I$23,2,TRUE)</f>
        <v>8690</v>
      </c>
      <c r="O147" s="94">
        <f>ROUND(N147*0.975,-1)</f>
        <v>8470</v>
      </c>
      <c r="P147" s="94">
        <f>ROUND(N147*0.95,-1)</f>
        <v>8260</v>
      </c>
    </row>
    <row r="148" spans="1:8" ht="35.25" customHeight="1" hidden="1" thickBot="1">
      <c r="A148" s="102"/>
      <c r="B148" s="103" t="s">
        <v>156</v>
      </c>
      <c r="C148" s="104" t="s">
        <v>157</v>
      </c>
      <c r="D148" s="105" t="s">
        <v>136</v>
      </c>
      <c r="E148" s="106" t="s">
        <v>140</v>
      </c>
      <c r="F148" s="38"/>
      <c r="G148" s="39"/>
      <c r="H148" s="39"/>
    </row>
    <row r="149" spans="1:8" ht="37.5" customHeight="1" hidden="1" thickBot="1">
      <c r="A149" s="102"/>
      <c r="B149" s="103" t="s">
        <v>158</v>
      </c>
      <c r="C149" s="107" t="s">
        <v>159</v>
      </c>
      <c r="D149" s="105" t="s">
        <v>160</v>
      </c>
      <c r="E149" s="106" t="s">
        <v>140</v>
      </c>
      <c r="F149" s="108"/>
      <c r="G149" s="109"/>
      <c r="H149" s="109"/>
    </row>
    <row r="150" spans="1:8" ht="13.5" hidden="1" thickBot="1">
      <c r="A150" s="110"/>
      <c r="B150" s="111"/>
      <c r="C150" s="112"/>
      <c r="D150" s="113"/>
      <c r="E150" s="113"/>
      <c r="F150" s="113"/>
      <c r="G150" s="113"/>
      <c r="H150" s="113"/>
    </row>
    <row r="151" spans="1:8" ht="26.25" customHeight="1" hidden="1" thickBot="1">
      <c r="A151" s="98">
        <f>A145+1</f>
        <v>40</v>
      </c>
      <c r="B151" s="114" t="s">
        <v>161</v>
      </c>
      <c r="C151" s="100" t="s">
        <v>14</v>
      </c>
      <c r="D151" s="100" t="s">
        <v>143</v>
      </c>
      <c r="E151" s="52" t="s">
        <v>97</v>
      </c>
      <c r="F151" s="97">
        <f>VLOOKUP(D151,СГ1!$A$4:$I$23,3,TRUE)+VLOOKUP(D151,СГ1!$A$4:$I$23,2,TRUE)</f>
        <v>11130</v>
      </c>
      <c r="G151" s="94">
        <f>ROUND(F151*0.975,-1)</f>
        <v>10850</v>
      </c>
      <c r="H151" s="94">
        <f>ROUND(F151*0.95,-1)</f>
        <v>10570</v>
      </c>
    </row>
    <row r="152" spans="1:8" ht="24.75" customHeight="1" hidden="1" thickBot="1">
      <c r="A152" s="12">
        <f>A151+1</f>
        <v>41</v>
      </c>
      <c r="B152" s="114" t="s">
        <v>162</v>
      </c>
      <c r="C152" s="100" t="s">
        <v>14</v>
      </c>
      <c r="D152" s="100" t="s">
        <v>36</v>
      </c>
      <c r="E152" s="52" t="s">
        <v>97</v>
      </c>
      <c r="F152" s="97">
        <f>VLOOKUP(D152,СГ1!$A$4:$I$23,3,TRUE)+VLOOKUP(D152,СГ1!$A$4:$I$23,2,TRUE)</f>
        <v>18480</v>
      </c>
      <c r="G152" s="94">
        <f>ROUND(F152*0.975,-1)</f>
        <v>18020</v>
      </c>
      <c r="H152" s="94">
        <f>ROUND(F152*0.95,-1)</f>
        <v>17560</v>
      </c>
    </row>
    <row r="153" spans="1:11" ht="18.75" customHeight="1" hidden="1" thickBot="1">
      <c r="A153" s="98"/>
      <c r="B153" s="99" t="s">
        <v>150</v>
      </c>
      <c r="C153" s="100"/>
      <c r="D153" s="100"/>
      <c r="E153" s="92"/>
      <c r="F153" s="21">
        <f>СГ1!C24</f>
        <v>2150</v>
      </c>
      <c r="G153" s="42"/>
      <c r="H153" s="42"/>
      <c r="J153" s="101" t="s">
        <v>151</v>
      </c>
      <c r="K153" s="85" t="s">
        <v>152</v>
      </c>
    </row>
    <row r="154" spans="1:16" ht="24.75" customHeight="1" hidden="1" thickBot="1">
      <c r="A154" s="98"/>
      <c r="B154" s="93" t="s">
        <v>163</v>
      </c>
      <c r="C154" s="96" t="s">
        <v>153</v>
      </c>
      <c r="D154" s="100" t="s">
        <v>143</v>
      </c>
      <c r="E154" s="54" t="s">
        <v>164</v>
      </c>
      <c r="F154" s="97">
        <f>VLOOKUP(D154,СГ1!$A$4:$I$23,2,TRUE)</f>
        <v>6550</v>
      </c>
      <c r="G154" s="94">
        <f>ROUND(F154*0.975,-1)</f>
        <v>6390</v>
      </c>
      <c r="H154" s="94">
        <f>ROUND(F154*0.95,-1)</f>
        <v>6220</v>
      </c>
      <c r="J154" s="101" t="s">
        <v>154</v>
      </c>
      <c r="K154" s="85" t="s">
        <v>155</v>
      </c>
      <c r="L154" s="100" t="s">
        <v>143</v>
      </c>
      <c r="M154" s="54" t="s">
        <v>164</v>
      </c>
      <c r="N154" s="97">
        <f>VLOOKUP(L154,СГ1!$A$4:$I$23,4,TRUE)+VLOOKUP(L154,СГ1!$A$4:$I$23,2,TRUE)</f>
        <v>6550</v>
      </c>
      <c r="O154" s="94">
        <f>ROUND(N154*0.975,-1)</f>
        <v>6390</v>
      </c>
      <c r="P154" s="94">
        <f>ROUND(N154*0.95,-1)</f>
        <v>6220</v>
      </c>
    </row>
    <row r="155" spans="1:16" ht="24.75" customHeight="1" hidden="1" thickBot="1">
      <c r="A155" s="98"/>
      <c r="B155" s="93" t="s">
        <v>165</v>
      </c>
      <c r="C155" s="96" t="s">
        <v>153</v>
      </c>
      <c r="D155" s="100" t="s">
        <v>36</v>
      </c>
      <c r="E155" s="54" t="s">
        <v>164</v>
      </c>
      <c r="F155" s="97">
        <f>VLOOKUP(D155,СГ1!$A$4:$I$23,2,TRUE)</f>
        <v>13900</v>
      </c>
      <c r="G155" s="94">
        <f>ROUND(F155*0.975,-1)</f>
        <v>13550</v>
      </c>
      <c r="H155" s="94">
        <f>ROUND(F155*0.95,-1)</f>
        <v>13210</v>
      </c>
      <c r="J155" s="115"/>
      <c r="K155" s="116"/>
      <c r="L155" s="117"/>
      <c r="M155" s="118"/>
      <c r="N155" s="119"/>
      <c r="O155" s="120"/>
      <c r="P155" s="120"/>
    </row>
    <row r="156" spans="1:8" ht="36.75" customHeight="1" hidden="1" thickBot="1">
      <c r="A156" s="121"/>
      <c r="B156" s="122" t="s">
        <v>156</v>
      </c>
      <c r="C156" s="123" t="s">
        <v>157</v>
      </c>
      <c r="D156" s="124" t="s">
        <v>143</v>
      </c>
      <c r="E156" s="30" t="s">
        <v>97</v>
      </c>
      <c r="F156" s="125"/>
      <c r="G156" s="126"/>
      <c r="H156" s="126"/>
    </row>
    <row r="157" spans="1:8" ht="36.75" customHeight="1" hidden="1" thickBot="1">
      <c r="A157" s="121"/>
      <c r="B157" s="122" t="s">
        <v>158</v>
      </c>
      <c r="C157" s="127" t="s">
        <v>166</v>
      </c>
      <c r="D157" s="124" t="s">
        <v>167</v>
      </c>
      <c r="E157" s="128" t="s">
        <v>97</v>
      </c>
      <c r="F157" s="31"/>
      <c r="G157" s="32"/>
      <c r="H157" s="32"/>
    </row>
    <row r="158" spans="1:11" ht="13.5" customHeight="1" hidden="1" thickBot="1">
      <c r="A158" s="110"/>
      <c r="B158" s="111"/>
      <c r="C158" s="112"/>
      <c r="D158" s="113"/>
      <c r="E158" s="113"/>
      <c r="F158" s="113"/>
      <c r="G158" s="113"/>
      <c r="H158" s="113"/>
      <c r="K158" s="129"/>
    </row>
    <row r="159" spans="1:8" ht="37.5" hidden="1" thickBot="1">
      <c r="A159" s="98">
        <f>A152+1</f>
        <v>42</v>
      </c>
      <c r="B159" s="114" t="s">
        <v>168</v>
      </c>
      <c r="C159" s="100" t="s">
        <v>14</v>
      </c>
      <c r="D159" s="130" t="s">
        <v>145</v>
      </c>
      <c r="E159" s="52" t="s">
        <v>97</v>
      </c>
      <c r="F159" s="97">
        <f>VLOOKUP(D159,СГ1!$A$4:$I$23,3,TRUE)+VLOOKUP(D159,СГ1!$A$4:$I$23,2,TRUE)</f>
        <v>12640</v>
      </c>
      <c r="G159" s="94">
        <f>ROUND(F159*0.975,-1)</f>
        <v>12320</v>
      </c>
      <c r="H159" s="94">
        <f>ROUND(F159*0.95,-1)</f>
        <v>12010</v>
      </c>
    </row>
    <row r="160" spans="1:8" ht="24.75" hidden="1" thickBot="1">
      <c r="A160" s="12">
        <f>A159+1</f>
        <v>43</v>
      </c>
      <c r="B160" s="114" t="s">
        <v>169</v>
      </c>
      <c r="C160" s="100">
        <v>1</v>
      </c>
      <c r="D160" s="130" t="s">
        <v>36</v>
      </c>
      <c r="E160" s="52" t="s">
        <v>97</v>
      </c>
      <c r="F160" s="97">
        <f>VLOOKUP(D160,СГ1!$A$4:$I$23,3,TRUE)+VLOOKUP(D160,СГ1!$A$4:$I$23,2,TRUE)</f>
        <v>18480</v>
      </c>
      <c r="G160" s="94">
        <f>ROUND(F160*0.975,-1)</f>
        <v>18020</v>
      </c>
      <c r="H160" s="94">
        <f>ROUND(F160*0.95,-1)</f>
        <v>17560</v>
      </c>
    </row>
    <row r="161" spans="1:11" ht="15" customHeight="1" hidden="1" thickBot="1">
      <c r="A161" s="98"/>
      <c r="B161" s="99" t="s">
        <v>150</v>
      </c>
      <c r="C161" s="100"/>
      <c r="D161" s="100"/>
      <c r="E161" s="52"/>
      <c r="F161" s="97">
        <f>СГ1!C24</f>
        <v>2150</v>
      </c>
      <c r="G161" s="94"/>
      <c r="H161" s="94"/>
      <c r="J161" s="101" t="s">
        <v>151</v>
      </c>
      <c r="K161" s="85" t="s">
        <v>152</v>
      </c>
    </row>
    <row r="162" spans="1:16" ht="24" customHeight="1" hidden="1" thickBot="1">
      <c r="A162" s="98"/>
      <c r="B162" s="93" t="s">
        <v>163</v>
      </c>
      <c r="C162" s="96" t="s">
        <v>153</v>
      </c>
      <c r="D162" s="130" t="s">
        <v>145</v>
      </c>
      <c r="E162" s="54" t="s">
        <v>164</v>
      </c>
      <c r="F162" s="21">
        <f>VLOOKUP(D162,СГ1!$A$4:$I$23,2,TRUE)</f>
        <v>8060</v>
      </c>
      <c r="G162" s="42">
        <f>ROUND(F162*0.975,-1)</f>
        <v>7860</v>
      </c>
      <c r="H162" s="42">
        <f>ROUND(F162*0.95,-1)</f>
        <v>7660</v>
      </c>
      <c r="J162" s="101" t="s">
        <v>154</v>
      </c>
      <c r="K162" s="85" t="s">
        <v>155</v>
      </c>
      <c r="L162" s="130" t="s">
        <v>145</v>
      </c>
      <c r="M162" s="54" t="s">
        <v>164</v>
      </c>
      <c r="N162" s="97">
        <f>VLOOKUP(L162,СГ1!$A$4:$I$23,4,TRUE)+VLOOKUP(L162,СГ1!$A$4:$I$23,2,TRUE)</f>
        <v>8060</v>
      </c>
      <c r="O162" s="94">
        <f>ROUND(N162*0.975,-1)</f>
        <v>7860</v>
      </c>
      <c r="P162" s="94">
        <f>ROUND(N162*0.95,-1)</f>
        <v>7660</v>
      </c>
    </row>
    <row r="163" spans="1:16" ht="24.75" customHeight="1" hidden="1" thickBot="1">
      <c r="A163" s="98"/>
      <c r="B163" s="93" t="s">
        <v>170</v>
      </c>
      <c r="C163" s="96" t="s">
        <v>153</v>
      </c>
      <c r="D163" s="130" t="s">
        <v>36</v>
      </c>
      <c r="E163" s="54" t="s">
        <v>164</v>
      </c>
      <c r="F163" s="21">
        <f>VLOOKUP(D163,СГ1!$A$4:$I$23,2,TRUE)</f>
        <v>13900</v>
      </c>
      <c r="G163" s="42">
        <f>ROUND(F163*0.975,-1)</f>
        <v>13550</v>
      </c>
      <c r="H163" s="42">
        <f>ROUND(F163*0.95,-1)</f>
        <v>13210</v>
      </c>
      <c r="J163" s="115"/>
      <c r="K163" s="116"/>
      <c r="L163" s="131"/>
      <c r="M163" s="118"/>
      <c r="N163" s="119"/>
      <c r="O163" s="120"/>
      <c r="P163" s="120"/>
    </row>
    <row r="164" spans="1:8" ht="42.75" customHeight="1" hidden="1" thickBot="1">
      <c r="A164" s="121"/>
      <c r="B164" s="122" t="s">
        <v>156</v>
      </c>
      <c r="C164" s="123" t="s">
        <v>157</v>
      </c>
      <c r="D164" s="132" t="s">
        <v>145</v>
      </c>
      <c r="E164" s="30" t="s">
        <v>97</v>
      </c>
      <c r="F164" s="125"/>
      <c r="G164" s="126"/>
      <c r="H164" s="126"/>
    </row>
    <row r="165" spans="1:8" ht="34.5" customHeight="1" hidden="1" thickBot="1">
      <c r="A165" s="121"/>
      <c r="B165" s="122" t="s">
        <v>158</v>
      </c>
      <c r="C165" s="127" t="s">
        <v>166</v>
      </c>
      <c r="D165" s="132" t="s">
        <v>171</v>
      </c>
      <c r="E165" s="30" t="s">
        <v>97</v>
      </c>
      <c r="F165" s="125"/>
      <c r="G165" s="126"/>
      <c r="H165" s="126"/>
    </row>
    <row r="166" spans="1:8" ht="18.75" customHeight="1" hidden="1" thickBot="1">
      <c r="A166" s="110"/>
      <c r="B166" s="111"/>
      <c r="C166" s="112"/>
      <c r="D166" s="113"/>
      <c r="E166" s="113"/>
      <c r="F166" s="113"/>
      <c r="G166" s="113"/>
      <c r="H166" s="113"/>
    </row>
    <row r="167" spans="1:11" ht="36" customHeight="1" hidden="1" thickBot="1">
      <c r="A167" s="98">
        <f>A160+1</f>
        <v>44</v>
      </c>
      <c r="B167" s="133" t="s">
        <v>146</v>
      </c>
      <c r="C167" s="134" t="s">
        <v>18</v>
      </c>
      <c r="D167" s="100" t="s">
        <v>147</v>
      </c>
      <c r="E167" s="54" t="s">
        <v>148</v>
      </c>
      <c r="F167" s="97">
        <f>VLOOKUP(D167,СГ1!$A$4:$I$23,3,TRUE)+VLOOKUP(D167,СГ1!$A$4:$I$23,2,TRUE)</f>
        <v>21780</v>
      </c>
      <c r="G167" s="94">
        <f>ROUND(F167*0.975,-1)</f>
        <v>21240</v>
      </c>
      <c r="H167" s="94">
        <f>ROUND(F167*0.95,-1)</f>
        <v>20690</v>
      </c>
      <c r="J167" s="101" t="s">
        <v>172</v>
      </c>
      <c r="K167" s="101" t="s">
        <v>173</v>
      </c>
    </row>
    <row r="168" spans="1:16" ht="24.75" customHeight="1" hidden="1" thickBot="1">
      <c r="A168" s="98"/>
      <c r="B168" s="99" t="s">
        <v>150</v>
      </c>
      <c r="C168" s="100"/>
      <c r="D168" s="100"/>
      <c r="E168" s="52"/>
      <c r="F168" s="97">
        <f>СГ1!C24</f>
        <v>2150</v>
      </c>
      <c r="G168" s="94"/>
      <c r="H168" s="94"/>
      <c r="J168" s="101" t="s">
        <v>172</v>
      </c>
      <c r="K168" s="101" t="s">
        <v>174</v>
      </c>
      <c r="L168" s="100" t="s">
        <v>136</v>
      </c>
      <c r="M168" s="92" t="s">
        <v>140</v>
      </c>
      <c r="N168" s="97">
        <f>VLOOKUP(L168,СГ1!$A$4:$I$23,4,TRUE)+VLOOKUP(L168,СГ1!$A$4:$I$23,2,TRUE)</f>
        <v>8690</v>
      </c>
      <c r="O168" s="94">
        <f>ROUND(N168*0.975,-1)</f>
        <v>8470</v>
      </c>
      <c r="P168" s="94">
        <f>ROUND(N168*0.95,-1)</f>
        <v>8260</v>
      </c>
    </row>
    <row r="169" spans="1:11" ht="31.5" customHeight="1" hidden="1" thickBot="1">
      <c r="A169" s="98"/>
      <c r="B169" s="93" t="s">
        <v>141</v>
      </c>
      <c r="C169" s="96" t="s">
        <v>153</v>
      </c>
      <c r="D169" s="100" t="s">
        <v>136</v>
      </c>
      <c r="E169" s="92" t="s">
        <v>140</v>
      </c>
      <c r="F169" s="97">
        <f>VLOOKUP(D169,СГ1!$A$4:$I$23,2,TRUE)</f>
        <v>8690</v>
      </c>
      <c r="G169" s="94">
        <f>ROUND(F169*0.975,-1)</f>
        <v>8470</v>
      </c>
      <c r="H169" s="94">
        <f>ROUND(F169*0.95,-1)</f>
        <v>8260</v>
      </c>
      <c r="J169" s="101" t="s">
        <v>175</v>
      </c>
      <c r="K169" s="101" t="s">
        <v>173</v>
      </c>
    </row>
    <row r="170" spans="1:16" ht="29.25" customHeight="1" hidden="1" thickBot="1">
      <c r="A170" s="98"/>
      <c r="B170" s="93" t="s">
        <v>141</v>
      </c>
      <c r="C170" s="96" t="s">
        <v>153</v>
      </c>
      <c r="D170" s="100" t="s">
        <v>143</v>
      </c>
      <c r="E170" s="54" t="s">
        <v>164</v>
      </c>
      <c r="F170" s="97">
        <f>VLOOKUP(D170,СГ1!$A$4:$I$23,2,TRUE)</f>
        <v>6550</v>
      </c>
      <c r="G170" s="94">
        <f>ROUND(F170*0.975,-1)</f>
        <v>6390</v>
      </c>
      <c r="H170" s="94">
        <f>ROUND(F170*0.95,-1)</f>
        <v>6220</v>
      </c>
      <c r="J170" s="101" t="s">
        <v>175</v>
      </c>
      <c r="K170" s="101" t="s">
        <v>174</v>
      </c>
      <c r="L170" s="100" t="s">
        <v>143</v>
      </c>
      <c r="M170" s="54" t="s">
        <v>164</v>
      </c>
      <c r="N170" s="97">
        <f>VLOOKUP(L170,СГ1!$A$4:$I$23,4,TRUE)+VLOOKUP(L170,СГ1!$A$4:$I$23,2,TRUE)</f>
        <v>6550</v>
      </c>
      <c r="O170" s="94">
        <f>ROUND(N170*0.975,-1)</f>
        <v>6390</v>
      </c>
      <c r="P170" s="94">
        <f>ROUND(N170*0.95,-1)</f>
        <v>6220</v>
      </c>
    </row>
    <row r="171" spans="1:8" ht="37.5" customHeight="1" hidden="1" thickBot="1">
      <c r="A171" s="102"/>
      <c r="B171" s="103" t="s">
        <v>176</v>
      </c>
      <c r="C171" s="104" t="s">
        <v>177</v>
      </c>
      <c r="D171" s="105" t="s">
        <v>178</v>
      </c>
      <c r="E171" s="52" t="s">
        <v>148</v>
      </c>
      <c r="F171" s="97"/>
      <c r="G171" s="94"/>
      <c r="H171" s="94"/>
    </row>
    <row r="172" spans="1:8" ht="30" customHeight="1" hidden="1" thickBot="1">
      <c r="A172" s="102"/>
      <c r="B172" s="103" t="s">
        <v>158</v>
      </c>
      <c r="C172" s="135" t="s">
        <v>179</v>
      </c>
      <c r="D172" s="105" t="s">
        <v>180</v>
      </c>
      <c r="E172" s="92" t="s">
        <v>148</v>
      </c>
      <c r="F172" s="21"/>
      <c r="G172" s="42"/>
      <c r="H172" s="42"/>
    </row>
    <row r="173" spans="1:8" ht="18" customHeight="1" hidden="1" thickBot="1">
      <c r="A173" s="110"/>
      <c r="B173" s="111"/>
      <c r="C173" s="112"/>
      <c r="D173" s="113"/>
      <c r="E173" s="113"/>
      <c r="F173" s="113"/>
      <c r="G173" s="113"/>
      <c r="H173" s="113"/>
    </row>
    <row r="174" spans="1:11" ht="13.5" customHeight="1" hidden="1" thickBot="1">
      <c r="A174" s="98">
        <f>A167+1</f>
        <v>45</v>
      </c>
      <c r="B174" s="114" t="s">
        <v>181</v>
      </c>
      <c r="C174" s="100" t="s">
        <v>18</v>
      </c>
      <c r="D174" s="100" t="s">
        <v>182</v>
      </c>
      <c r="E174" s="52" t="s">
        <v>97</v>
      </c>
      <c r="F174" s="97">
        <f>VLOOKUP(D174,СГ1!$A$4:$I$23,3,TRUE)+VLOOKUP(D174,СГ1!$A$4:$I$23,2,TRUE)</f>
        <v>23290</v>
      </c>
      <c r="G174" s="94">
        <f>ROUND(F174*0.975,-1)</f>
        <v>22710</v>
      </c>
      <c r="H174" s="94">
        <f>ROUND(F174*0.95,-1)</f>
        <v>22130</v>
      </c>
      <c r="J174" s="101" t="s">
        <v>172</v>
      </c>
      <c r="K174" s="101" t="s">
        <v>173</v>
      </c>
    </row>
    <row r="175" spans="1:16" ht="39" hidden="1" thickBot="1">
      <c r="A175" s="98"/>
      <c r="B175" s="99" t="s">
        <v>150</v>
      </c>
      <c r="C175" s="100"/>
      <c r="D175" s="100"/>
      <c r="E175" s="52"/>
      <c r="F175" s="97">
        <f>СГ1!C24</f>
        <v>2150</v>
      </c>
      <c r="G175" s="94"/>
      <c r="H175" s="94"/>
      <c r="J175" s="101" t="s">
        <v>172</v>
      </c>
      <c r="K175" s="101" t="s">
        <v>174</v>
      </c>
      <c r="L175" s="100" t="s">
        <v>136</v>
      </c>
      <c r="M175" s="92" t="s">
        <v>140</v>
      </c>
      <c r="N175" s="97">
        <f>VLOOKUP(L175,СГ1!$A$4:$I$23,4,TRUE)+VLOOKUP(L175,СГ1!$A$4:$I$23,2,TRUE)</f>
        <v>8690</v>
      </c>
      <c r="O175" s="94">
        <f>ROUND(N175*0.975,-1)</f>
        <v>8470</v>
      </c>
      <c r="P175" s="94">
        <f>ROUND(N175*0.95,-1)</f>
        <v>8260</v>
      </c>
    </row>
    <row r="176" spans="1:11" ht="25.5" customHeight="1" hidden="1" thickBot="1">
      <c r="A176" s="98"/>
      <c r="B176" s="93" t="s">
        <v>141</v>
      </c>
      <c r="C176" s="96" t="s">
        <v>153</v>
      </c>
      <c r="D176" s="100" t="s">
        <v>136</v>
      </c>
      <c r="E176" s="92" t="s">
        <v>140</v>
      </c>
      <c r="F176" s="97">
        <f>VLOOKUP(D176,СГ1!$A$4:$I$23,2,TRUE)</f>
        <v>8690</v>
      </c>
      <c r="G176" s="94">
        <f>ROUND(F176*0.975,-1)</f>
        <v>8470</v>
      </c>
      <c r="H176" s="94">
        <f>ROUND(F176*0.95,-1)</f>
        <v>8260</v>
      </c>
      <c r="J176" s="101" t="s">
        <v>183</v>
      </c>
      <c r="K176" s="101" t="s">
        <v>173</v>
      </c>
    </row>
    <row r="177" spans="1:16" ht="24" customHeight="1" hidden="1" thickBot="1">
      <c r="A177" s="98"/>
      <c r="B177" s="93" t="s">
        <v>141</v>
      </c>
      <c r="C177" s="96" t="s">
        <v>153</v>
      </c>
      <c r="D177" s="130" t="s">
        <v>145</v>
      </c>
      <c r="E177" s="54" t="s">
        <v>164</v>
      </c>
      <c r="F177" s="21">
        <f>VLOOKUP(D177,СГ1!$A$4:$I$23,2,TRUE)</f>
        <v>8060</v>
      </c>
      <c r="G177" s="42">
        <f>ROUND(F177*0.975,-1)</f>
        <v>7860</v>
      </c>
      <c r="H177" s="42">
        <f>ROUND(F177*0.95,-1)</f>
        <v>7660</v>
      </c>
      <c r="J177" s="101" t="s">
        <v>183</v>
      </c>
      <c r="K177" s="101" t="s">
        <v>174</v>
      </c>
      <c r="L177" s="130" t="s">
        <v>145</v>
      </c>
      <c r="M177" s="54" t="s">
        <v>164</v>
      </c>
      <c r="N177" s="97">
        <f>VLOOKUP(L177,СГ1!$A$4:$I$23,4,TRUE)+VLOOKUP(L177,СГ1!$A$4:$I$23,2,TRUE)</f>
        <v>8060</v>
      </c>
      <c r="O177" s="94">
        <f>ROUND(N177*0.975,-1)</f>
        <v>7860</v>
      </c>
      <c r="P177" s="94">
        <f>ROUND(N177*0.95,-1)</f>
        <v>7660</v>
      </c>
    </row>
    <row r="178" spans="1:8" ht="51" customHeight="1" hidden="1" thickBot="1">
      <c r="A178" s="102"/>
      <c r="B178" s="103" t="s">
        <v>176</v>
      </c>
      <c r="C178" s="104" t="s">
        <v>177</v>
      </c>
      <c r="D178" s="136" t="s">
        <v>184</v>
      </c>
      <c r="E178" s="92" t="s">
        <v>185</v>
      </c>
      <c r="F178" s="21"/>
      <c r="G178" s="42"/>
      <c r="H178" s="42"/>
    </row>
    <row r="179" spans="1:8" ht="48.75" customHeight="1" hidden="1" thickBot="1">
      <c r="A179" s="102"/>
      <c r="B179" s="103" t="s">
        <v>158</v>
      </c>
      <c r="C179" s="135" t="s">
        <v>179</v>
      </c>
      <c r="D179" s="136" t="s">
        <v>184</v>
      </c>
      <c r="E179" s="54" t="s">
        <v>185</v>
      </c>
      <c r="F179" s="97"/>
      <c r="G179" s="94"/>
      <c r="H179" s="94"/>
    </row>
    <row r="180" spans="1:8" ht="15.75" hidden="1">
      <c r="A180" s="137"/>
      <c r="B180" s="138"/>
      <c r="C180" s="138"/>
      <c r="D180" s="138"/>
      <c r="E180" s="3"/>
      <c r="F180" s="535"/>
      <c r="G180" s="3"/>
      <c r="H180" s="3"/>
    </row>
    <row r="181" spans="1:8" ht="15.75" hidden="1">
      <c r="A181" s="137"/>
      <c r="B181" s="138"/>
      <c r="C181" s="138"/>
      <c r="D181" s="138"/>
      <c r="E181" s="3"/>
      <c r="F181" s="535"/>
      <c r="G181" s="3"/>
      <c r="H181" s="3"/>
    </row>
    <row r="182" spans="1:8" ht="18.75" customHeight="1" hidden="1">
      <c r="A182" s="139" t="s">
        <v>186</v>
      </c>
      <c r="B182" s="138"/>
      <c r="C182" s="138"/>
      <c r="D182" s="138"/>
      <c r="E182" s="3"/>
      <c r="F182" s="535"/>
      <c r="G182" s="3"/>
      <c r="H182" s="3"/>
    </row>
    <row r="183" spans="1:8" ht="12.75" hidden="1">
      <c r="A183" s="140" t="s">
        <v>187</v>
      </c>
      <c r="B183" s="138"/>
      <c r="C183" s="138"/>
      <c r="D183" s="138"/>
      <c r="E183" s="3"/>
      <c r="F183" s="535"/>
      <c r="G183" s="3"/>
      <c r="H183" s="3"/>
    </row>
    <row r="184" spans="1:8" ht="12.75" hidden="1">
      <c r="A184" s="140" t="s">
        <v>188</v>
      </c>
      <c r="B184" s="138"/>
      <c r="C184" s="138"/>
      <c r="D184" s="138"/>
      <c r="E184" s="3"/>
      <c r="F184" s="535"/>
      <c r="G184" s="3"/>
      <c r="H184" s="3"/>
    </row>
    <row r="185" spans="1:8" ht="12.75" customHeight="1" hidden="1" thickBot="1">
      <c r="A185" s="140"/>
      <c r="B185" s="138"/>
      <c r="C185" s="138"/>
      <c r="D185" s="138"/>
      <c r="E185" s="3"/>
      <c r="F185" s="535"/>
      <c r="G185" s="3"/>
      <c r="H185" s="3"/>
    </row>
    <row r="186" spans="1:8" ht="12.75" customHeight="1" hidden="1" thickBot="1">
      <c r="A186" s="1068" t="s">
        <v>189</v>
      </c>
      <c r="B186" s="1068"/>
      <c r="C186" s="1068"/>
      <c r="D186" s="1068"/>
      <c r="E186" s="1067" t="s">
        <v>190</v>
      </c>
      <c r="F186" s="1067"/>
      <c r="G186" s="1067"/>
      <c r="H186" s="1067"/>
    </row>
    <row r="187" spans="1:8" ht="39.75" customHeight="1" hidden="1" thickBot="1">
      <c r="A187" s="141" t="s">
        <v>7</v>
      </c>
      <c r="B187" s="1069" t="s">
        <v>0</v>
      </c>
      <c r="C187" s="1070" t="s">
        <v>1</v>
      </c>
      <c r="D187" s="1070" t="s">
        <v>2</v>
      </c>
      <c r="E187" s="1062" t="s">
        <v>3</v>
      </c>
      <c r="F187" s="1063" t="s">
        <v>8</v>
      </c>
      <c r="G187" s="1063"/>
      <c r="H187" s="1063"/>
    </row>
    <row r="188" spans="1:8" ht="24.75" customHeight="1" hidden="1" thickBot="1">
      <c r="A188" s="142"/>
      <c r="B188" s="1069"/>
      <c r="C188" s="1070" t="s">
        <v>9</v>
      </c>
      <c r="D188" s="1070"/>
      <c r="E188" s="1062"/>
      <c r="F188" s="13" t="s">
        <v>10</v>
      </c>
      <c r="G188" s="14" t="s">
        <v>11</v>
      </c>
      <c r="H188" s="15" t="s">
        <v>12</v>
      </c>
    </row>
    <row r="189" spans="1:8" ht="36.75" hidden="1" thickBot="1">
      <c r="A189" s="110"/>
      <c r="B189" s="111" t="s">
        <v>138</v>
      </c>
      <c r="C189" s="112"/>
      <c r="D189" s="113"/>
      <c r="E189" s="47"/>
      <c r="F189" s="48"/>
      <c r="G189" s="49"/>
      <c r="H189" s="49"/>
    </row>
    <row r="190" spans="1:8" ht="15" hidden="1" thickBot="1">
      <c r="A190" s="98">
        <f>A174+1</f>
        <v>46</v>
      </c>
      <c r="B190" s="114" t="s">
        <v>191</v>
      </c>
      <c r="C190" s="100">
        <v>1</v>
      </c>
      <c r="D190" s="100" t="s">
        <v>192</v>
      </c>
      <c r="E190" s="54" t="s">
        <v>193</v>
      </c>
      <c r="F190" s="21">
        <f>VLOOKUP(D190,СГ1!$A$4:$I$23,6,TRUE)</f>
        <v>10990</v>
      </c>
      <c r="G190" s="42">
        <f>ROUND(F190*0.975,-1)</f>
        <v>10720</v>
      </c>
      <c r="H190" s="42">
        <f>ROUND(F190*0.95,-1)</f>
        <v>10440</v>
      </c>
    </row>
    <row r="191" spans="1:8" ht="28.5" customHeight="1" hidden="1" thickBot="1">
      <c r="A191" s="98">
        <f>A190+1</f>
        <v>47</v>
      </c>
      <c r="B191" s="114" t="s">
        <v>194</v>
      </c>
      <c r="C191" s="100">
        <v>1</v>
      </c>
      <c r="D191" s="100" t="s">
        <v>195</v>
      </c>
      <c r="E191" s="54" t="s">
        <v>196</v>
      </c>
      <c r="F191" s="21">
        <f>VLOOKUP(D191,СГ1!$A$4:$I$23,6,TRUE)</f>
        <v>11810</v>
      </c>
      <c r="G191" s="42">
        <f>ROUND(F191*0.975,-1)</f>
        <v>11510</v>
      </c>
      <c r="H191" s="42">
        <f>ROUND(F191*0.95,-1)</f>
        <v>11220</v>
      </c>
    </row>
    <row r="192" spans="1:8" ht="24" customHeight="1" hidden="1" thickBot="1">
      <c r="A192" s="98">
        <f>A191+1</f>
        <v>48</v>
      </c>
      <c r="B192" s="114" t="s">
        <v>197</v>
      </c>
      <c r="C192" s="100">
        <v>1</v>
      </c>
      <c r="D192" s="100" t="s">
        <v>198</v>
      </c>
      <c r="E192" s="54" t="s">
        <v>199</v>
      </c>
      <c r="F192" s="21">
        <f>VLOOKUP(D192,СГ1!$A$4:$I$23,6,TRUE)</f>
        <v>12200</v>
      </c>
      <c r="G192" s="42">
        <f>ROUND(F192*0.975,-1)</f>
        <v>11900</v>
      </c>
      <c r="H192" s="42">
        <f>ROUND(F192*0.95,-1)</f>
        <v>11590</v>
      </c>
    </row>
    <row r="193" spans="1:8" ht="24.75" customHeight="1" hidden="1" thickBot="1">
      <c r="A193" s="98">
        <f>A192+1</f>
        <v>49</v>
      </c>
      <c r="B193" s="114" t="s">
        <v>200</v>
      </c>
      <c r="C193" s="100">
        <v>1</v>
      </c>
      <c r="D193" s="100" t="s">
        <v>88</v>
      </c>
      <c r="E193" s="54" t="s">
        <v>201</v>
      </c>
      <c r="F193" s="21">
        <f>VLOOKUP(D193,СГ1!$A$4:$I$23,6,TRUE)</f>
        <v>13020</v>
      </c>
      <c r="G193" s="42">
        <f>ROUND(F193*0.975,-1)</f>
        <v>12690</v>
      </c>
      <c r="H193" s="42">
        <f>ROUND(F193*0.95,-1)</f>
        <v>12370</v>
      </c>
    </row>
    <row r="194" spans="1:8" ht="24.75" customHeight="1" hidden="1" thickBot="1">
      <c r="A194" s="143">
        <f>A193+1</f>
        <v>50</v>
      </c>
      <c r="B194" s="144" t="s">
        <v>202</v>
      </c>
      <c r="C194" s="145">
        <v>1</v>
      </c>
      <c r="D194" s="145" t="s">
        <v>203</v>
      </c>
      <c r="E194" s="72" t="s">
        <v>204</v>
      </c>
      <c r="F194" s="73">
        <f>VLOOKUP(D194,СГ1!$A$4:$I$23,6,TRUE)</f>
        <v>16880</v>
      </c>
      <c r="G194" s="74">
        <f>ROUND(F194*0.975,-1)</f>
        <v>16460</v>
      </c>
      <c r="H194" s="74">
        <f>ROUND(F194*0.95,-1)</f>
        <v>16040</v>
      </c>
    </row>
    <row r="195" spans="1:8" ht="37.5" customHeight="1" hidden="1" thickBot="1">
      <c r="A195" s="110"/>
      <c r="B195" s="111" t="s">
        <v>149</v>
      </c>
      <c r="C195" s="112"/>
      <c r="D195" s="113"/>
      <c r="E195" s="47"/>
      <c r="F195" s="48"/>
      <c r="G195" s="49"/>
      <c r="H195" s="49"/>
    </row>
    <row r="196" spans="1:8" ht="14.25" hidden="1" thickBot="1">
      <c r="A196" s="98">
        <f>A194+1</f>
        <v>51</v>
      </c>
      <c r="B196" s="114" t="s">
        <v>191</v>
      </c>
      <c r="C196" s="100">
        <v>1</v>
      </c>
      <c r="D196" s="100" t="s">
        <v>192</v>
      </c>
      <c r="E196" s="54" t="s">
        <v>205</v>
      </c>
      <c r="F196" s="97">
        <f>VLOOKUP(D196,СГ1!$A$4:$I$23,3,TRUE)+VLOOKUP(D196,СГ1!$A$4:$I$23,2,TRUE)</f>
        <v>18030</v>
      </c>
      <c r="G196" s="94">
        <f>ROUND(F196*0.975,-1)</f>
        <v>17580</v>
      </c>
      <c r="H196" s="94">
        <f>ROUND(F196*0.95,-1)</f>
        <v>17130</v>
      </c>
    </row>
    <row r="197" spans="1:11" ht="17.25" customHeight="1" hidden="1" thickBot="1">
      <c r="A197" s="98"/>
      <c r="B197" s="99" t="s">
        <v>150</v>
      </c>
      <c r="C197" s="100"/>
      <c r="D197" s="100"/>
      <c r="E197" s="54"/>
      <c r="F197" s="97">
        <f>СГ1!C24</f>
        <v>2150</v>
      </c>
      <c r="G197" s="94"/>
      <c r="H197" s="94"/>
      <c r="J197" s="101" t="s">
        <v>151</v>
      </c>
      <c r="K197" s="85" t="s">
        <v>152</v>
      </c>
    </row>
    <row r="198" spans="1:16" ht="26.25" customHeight="1" hidden="1" thickBot="1">
      <c r="A198" s="98"/>
      <c r="B198" s="93" t="s">
        <v>141</v>
      </c>
      <c r="C198" s="96" t="s">
        <v>153</v>
      </c>
      <c r="D198" s="100" t="s">
        <v>192</v>
      </c>
      <c r="E198" s="54" t="s">
        <v>205</v>
      </c>
      <c r="F198" s="21">
        <f>VLOOKUP(D198,СГ1!$A$4:$I$23,2,TRUE)</f>
        <v>8410</v>
      </c>
      <c r="G198" s="42">
        <f>ROUND(F198*0.975,-1)</f>
        <v>8200</v>
      </c>
      <c r="H198" s="42">
        <f>ROUND(F198*0.95,-1)</f>
        <v>7990</v>
      </c>
      <c r="J198" s="101" t="s">
        <v>154</v>
      </c>
      <c r="K198" s="85" t="s">
        <v>155</v>
      </c>
      <c r="L198" s="100" t="s">
        <v>192</v>
      </c>
      <c r="M198" s="54" t="s">
        <v>205</v>
      </c>
      <c r="N198" s="97">
        <f>VLOOKUP(L198,СГ1!$A$4:$I$23,4,TRUE)+VLOOKUP(L198,СГ1!$A$4:$I$23,2,TRUE)</f>
        <v>8410</v>
      </c>
      <c r="O198" s="94">
        <f>ROUND(N198*0.975,-1)</f>
        <v>8200</v>
      </c>
      <c r="P198" s="94">
        <f>ROUND(N198*0.95,-1)</f>
        <v>7990</v>
      </c>
    </row>
    <row r="199" spans="1:8" ht="39.75" customHeight="1" hidden="1" thickBot="1">
      <c r="A199" s="146"/>
      <c r="B199" s="103" t="s">
        <v>156</v>
      </c>
      <c r="C199" s="104" t="s">
        <v>157</v>
      </c>
      <c r="D199" s="105" t="s">
        <v>192</v>
      </c>
      <c r="E199" s="37" t="s">
        <v>205</v>
      </c>
      <c r="F199" s="108"/>
      <c r="G199" s="109"/>
      <c r="H199" s="109"/>
    </row>
    <row r="200" spans="1:8" ht="26.25" hidden="1" thickBot="1">
      <c r="A200" s="146"/>
      <c r="B200" s="103" t="s">
        <v>158</v>
      </c>
      <c r="C200" s="135" t="s">
        <v>166</v>
      </c>
      <c r="D200" s="105" t="s">
        <v>206</v>
      </c>
      <c r="E200" s="37" t="s">
        <v>205</v>
      </c>
      <c r="F200" s="108"/>
      <c r="G200" s="109"/>
      <c r="H200" s="109"/>
    </row>
    <row r="201" spans="1:8" ht="13.5" hidden="1" thickBot="1">
      <c r="A201" s="110"/>
      <c r="B201" s="111"/>
      <c r="C201" s="112"/>
      <c r="D201" s="113"/>
      <c r="E201" s="47"/>
      <c r="F201" s="48"/>
      <c r="G201" s="49"/>
      <c r="H201" s="49"/>
    </row>
    <row r="202" spans="1:8" ht="29.25" customHeight="1" hidden="1" thickBot="1">
      <c r="A202" s="98">
        <f>A196+1</f>
        <v>52</v>
      </c>
      <c r="B202" s="114" t="s">
        <v>194</v>
      </c>
      <c r="C202" s="100">
        <v>1</v>
      </c>
      <c r="D202" s="100" t="s">
        <v>195</v>
      </c>
      <c r="E202" s="54" t="s">
        <v>207</v>
      </c>
      <c r="F202" s="97">
        <f>VLOOKUP(D202,СГ1!$A$4:$I$23,3,TRUE)+VLOOKUP(D202,СГ1!$A$4:$I$23,2,TRUE)</f>
        <v>18520</v>
      </c>
      <c r="G202" s="94">
        <f>ROUND(F202*0.975,-1)</f>
        <v>18060</v>
      </c>
      <c r="H202" s="94">
        <f>ROUND(F202*0.95,-1)</f>
        <v>17590</v>
      </c>
    </row>
    <row r="203" spans="1:11" ht="18" customHeight="1" hidden="1" thickBot="1">
      <c r="A203" s="98"/>
      <c r="B203" s="99" t="s">
        <v>150</v>
      </c>
      <c r="C203" s="100"/>
      <c r="D203" s="100"/>
      <c r="E203" s="54"/>
      <c r="F203" s="97">
        <f>СГ1!C24</f>
        <v>2150</v>
      </c>
      <c r="G203" s="94"/>
      <c r="H203" s="94"/>
      <c r="J203" s="101" t="s">
        <v>151</v>
      </c>
      <c r="K203" s="85" t="s">
        <v>152</v>
      </c>
    </row>
    <row r="204" spans="1:16" ht="27.75" customHeight="1" hidden="1" thickBot="1">
      <c r="A204" s="98"/>
      <c r="B204" s="93" t="s">
        <v>141</v>
      </c>
      <c r="C204" s="96" t="s">
        <v>153</v>
      </c>
      <c r="D204" s="100" t="s">
        <v>195</v>
      </c>
      <c r="E204" s="54" t="s">
        <v>207</v>
      </c>
      <c r="F204" s="97">
        <f>VLOOKUP(D204,СГ1!$A$4:$I$23,2,TRUE)</f>
        <v>8900</v>
      </c>
      <c r="G204" s="94">
        <f>ROUND(F204*0.975,-1)</f>
        <v>8680</v>
      </c>
      <c r="H204" s="94">
        <f>ROUND(F204*0.95,-1)</f>
        <v>8460</v>
      </c>
      <c r="J204" s="101" t="s">
        <v>154</v>
      </c>
      <c r="K204" s="85" t="s">
        <v>155</v>
      </c>
      <c r="L204" s="100" t="s">
        <v>195</v>
      </c>
      <c r="M204" s="54" t="s">
        <v>207</v>
      </c>
      <c r="N204" s="97">
        <f>VLOOKUP(L204,СГ1!$A$4:$I$23,4,TRUE)+VLOOKUP(L204,СГ1!$A$4:$I$23,2,TRUE)</f>
        <v>8900</v>
      </c>
      <c r="O204" s="94">
        <f>ROUND(N204*0.975,-1)</f>
        <v>8680</v>
      </c>
      <c r="P204" s="94">
        <f>ROUND(N204*0.95,-1)</f>
        <v>8460</v>
      </c>
    </row>
    <row r="205" spans="1:8" ht="40.5" customHeight="1" hidden="1" thickBot="1">
      <c r="A205" s="146"/>
      <c r="B205" s="103" t="s">
        <v>156</v>
      </c>
      <c r="C205" s="104" t="s">
        <v>157</v>
      </c>
      <c r="D205" s="105" t="s">
        <v>195</v>
      </c>
      <c r="E205" s="37" t="s">
        <v>207</v>
      </c>
      <c r="F205" s="108"/>
      <c r="G205" s="109"/>
      <c r="H205" s="109"/>
    </row>
    <row r="206" spans="1:8" ht="30.75" customHeight="1" hidden="1" thickBot="1">
      <c r="A206" s="146"/>
      <c r="B206" s="103" t="s">
        <v>158</v>
      </c>
      <c r="C206" s="135" t="s">
        <v>208</v>
      </c>
      <c r="D206" s="105" t="s">
        <v>209</v>
      </c>
      <c r="E206" s="37" t="s">
        <v>207</v>
      </c>
      <c r="F206" s="108"/>
      <c r="G206" s="109"/>
      <c r="H206" s="109"/>
    </row>
    <row r="207" spans="1:8" ht="13.5" hidden="1" thickBot="1">
      <c r="A207" s="110"/>
      <c r="B207" s="111"/>
      <c r="C207" s="112"/>
      <c r="D207" s="113"/>
      <c r="E207" s="47"/>
      <c r="F207" s="48"/>
      <c r="G207" s="49"/>
      <c r="H207" s="49"/>
    </row>
    <row r="208" spans="1:8" ht="27" customHeight="1" hidden="1" thickBot="1">
      <c r="A208" s="98">
        <f>A202+1</f>
        <v>53</v>
      </c>
      <c r="B208" s="114" t="s">
        <v>197</v>
      </c>
      <c r="C208" s="100">
        <v>1</v>
      </c>
      <c r="D208" s="100" t="s">
        <v>198</v>
      </c>
      <c r="E208" s="54" t="s">
        <v>210</v>
      </c>
      <c r="F208" s="97">
        <f>VLOOKUP(D208,СГ1!$A$4:$I$23,3,TRUE)+VLOOKUP(D208,СГ1!$A$4:$I$23,2,TRUE)</f>
        <v>19170</v>
      </c>
      <c r="G208" s="94">
        <f>ROUND(F208*0.975,-1)</f>
        <v>18690</v>
      </c>
      <c r="H208" s="94">
        <f>ROUND(F208*0.95,-1)</f>
        <v>18210</v>
      </c>
    </row>
    <row r="209" spans="1:8" ht="13.5" hidden="1" thickBot="1">
      <c r="A209" s="98"/>
      <c r="B209" s="99" t="s">
        <v>150</v>
      </c>
      <c r="C209" s="100"/>
      <c r="D209" s="100"/>
      <c r="E209" s="54"/>
      <c r="F209" s="97">
        <f>СГ1!C24</f>
        <v>2150</v>
      </c>
      <c r="G209" s="94"/>
      <c r="H209" s="94"/>
    </row>
    <row r="210" spans="1:16" ht="30.75" customHeight="1" hidden="1" thickBot="1">
      <c r="A210" s="98"/>
      <c r="B210" s="93" t="s">
        <v>141</v>
      </c>
      <c r="C210" s="96" t="s">
        <v>153</v>
      </c>
      <c r="D210" s="100" t="s">
        <v>198</v>
      </c>
      <c r="E210" s="54" t="s">
        <v>210</v>
      </c>
      <c r="F210" s="97">
        <f>VLOOKUP(D210,СГ1!$A$4:$I$23,2,TRUE)</f>
        <v>9210</v>
      </c>
      <c r="G210" s="94">
        <f>ROUND(F210*0.975,-1)</f>
        <v>8980</v>
      </c>
      <c r="H210" s="94">
        <f>ROUND(F210*0.95,-1)</f>
        <v>8750</v>
      </c>
      <c r="J210" s="101" t="s">
        <v>154</v>
      </c>
      <c r="K210" s="85" t="s">
        <v>155</v>
      </c>
      <c r="L210" s="100" t="s">
        <v>198</v>
      </c>
      <c r="M210" s="54" t="s">
        <v>210</v>
      </c>
      <c r="N210" s="97">
        <f>VLOOKUP(L210,СГ1!$A$4:$I$23,4,TRUE)+VLOOKUP(L210,СГ1!$A$4:$I$23,2,TRUE)</f>
        <v>9210</v>
      </c>
      <c r="O210" s="94">
        <f>ROUND(N210*0.975,-1)</f>
        <v>8980</v>
      </c>
      <c r="P210" s="94">
        <f>ROUND(N210*0.95,-1)</f>
        <v>8750</v>
      </c>
    </row>
    <row r="211" spans="1:8" ht="37.5" customHeight="1" hidden="1" thickBot="1">
      <c r="A211" s="146"/>
      <c r="B211" s="103" t="s">
        <v>156</v>
      </c>
      <c r="C211" s="104" t="s">
        <v>157</v>
      </c>
      <c r="D211" s="105" t="s">
        <v>198</v>
      </c>
      <c r="E211" s="37" t="s">
        <v>210</v>
      </c>
      <c r="F211" s="108"/>
      <c r="G211" s="109"/>
      <c r="H211" s="109"/>
    </row>
    <row r="212" spans="1:8" ht="26.25" hidden="1" thickBot="1">
      <c r="A212" s="146"/>
      <c r="B212" s="103" t="s">
        <v>158</v>
      </c>
      <c r="C212" s="135" t="s">
        <v>166</v>
      </c>
      <c r="D212" s="105" t="s">
        <v>211</v>
      </c>
      <c r="E212" s="37" t="s">
        <v>210</v>
      </c>
      <c r="F212" s="108"/>
      <c r="G212" s="109"/>
      <c r="H212" s="109"/>
    </row>
    <row r="213" spans="1:8" ht="13.5" hidden="1" thickBot="1">
      <c r="A213" s="110"/>
      <c r="B213" s="111"/>
      <c r="C213" s="112"/>
      <c r="D213" s="113"/>
      <c r="E213" s="47"/>
      <c r="F213" s="48"/>
      <c r="G213" s="49"/>
      <c r="H213" s="49"/>
    </row>
    <row r="214" spans="1:8" ht="28.5" customHeight="1" hidden="1" thickBot="1">
      <c r="A214" s="98">
        <f>A208+1</f>
        <v>54</v>
      </c>
      <c r="B214" s="114" t="s">
        <v>200</v>
      </c>
      <c r="C214" s="100">
        <v>1</v>
      </c>
      <c r="D214" s="100" t="s">
        <v>88</v>
      </c>
      <c r="E214" s="54" t="s">
        <v>104</v>
      </c>
      <c r="F214" s="97">
        <f>VLOOKUP(D214,СГ1!$A$4:$I$23,3,TRUE)+VLOOKUP(D214,СГ1!$A$4:$I$23,2,TRUE)</f>
        <v>19560</v>
      </c>
      <c r="G214" s="94">
        <f>ROUND(F214*0.975,-1)</f>
        <v>19070</v>
      </c>
      <c r="H214" s="94">
        <f>ROUND(F214*0.95,-1)</f>
        <v>18580</v>
      </c>
    </row>
    <row r="215" spans="1:8" ht="30" customHeight="1" hidden="1" thickBot="1">
      <c r="A215" s="98"/>
      <c r="B215" s="99" t="s">
        <v>150</v>
      </c>
      <c r="C215" s="100"/>
      <c r="D215" s="100"/>
      <c r="E215" s="54"/>
      <c r="F215" s="97">
        <f>СГ1!C24</f>
        <v>2150</v>
      </c>
      <c r="G215" s="94"/>
      <c r="H215" s="94"/>
    </row>
    <row r="216" spans="1:16" ht="28.5" customHeight="1" hidden="1" thickBot="1">
      <c r="A216" s="98"/>
      <c r="B216" s="93" t="s">
        <v>141</v>
      </c>
      <c r="C216" s="96" t="s">
        <v>153</v>
      </c>
      <c r="D216" s="100" t="s">
        <v>88</v>
      </c>
      <c r="E216" s="54" t="s">
        <v>104</v>
      </c>
      <c r="F216" s="97">
        <f>VLOOKUP(D216,СГ1!$A$4:$I$23,2,TRUE)</f>
        <v>9940</v>
      </c>
      <c r="G216" s="94">
        <f>ROUND(F216*0.975,-1)</f>
        <v>9690</v>
      </c>
      <c r="H216" s="94">
        <f>ROUND(F216*0.95,-1)</f>
        <v>9440</v>
      </c>
      <c r="J216" s="101" t="s">
        <v>154</v>
      </c>
      <c r="K216" s="85" t="s">
        <v>155</v>
      </c>
      <c r="L216" s="100" t="s">
        <v>88</v>
      </c>
      <c r="M216" s="54" t="s">
        <v>104</v>
      </c>
      <c r="N216" s="97">
        <f>VLOOKUP(L216,СГ1!$A$4:$I$23,4,TRUE)+VLOOKUP(L216,СГ1!$A$4:$I$23,2,TRUE)</f>
        <v>9940</v>
      </c>
      <c r="O216" s="94">
        <f>ROUND(N216*0.975,-1)</f>
        <v>9690</v>
      </c>
      <c r="P216" s="94">
        <f>ROUND(N216*0.95,-1)</f>
        <v>9440</v>
      </c>
    </row>
    <row r="217" spans="1:8" ht="37.5" customHeight="1" hidden="1" thickBot="1">
      <c r="A217" s="146"/>
      <c r="B217" s="103" t="s">
        <v>156</v>
      </c>
      <c r="C217" s="104" t="s">
        <v>157</v>
      </c>
      <c r="D217" s="105" t="s">
        <v>88</v>
      </c>
      <c r="E217" s="37" t="s">
        <v>104</v>
      </c>
      <c r="F217" s="108"/>
      <c r="G217" s="109"/>
      <c r="H217" s="109"/>
    </row>
    <row r="218" spans="1:8" ht="41.25" customHeight="1" hidden="1" thickBot="1">
      <c r="A218" s="146"/>
      <c r="B218" s="103" t="s">
        <v>158</v>
      </c>
      <c r="C218" s="135" t="s">
        <v>166</v>
      </c>
      <c r="D218" s="105" t="s">
        <v>70</v>
      </c>
      <c r="E218" s="37" t="s">
        <v>104</v>
      </c>
      <c r="F218" s="108"/>
      <c r="G218" s="109"/>
      <c r="H218" s="109"/>
    </row>
    <row r="219" spans="1:8" ht="42" customHeight="1" hidden="1" thickBot="1">
      <c r="A219" s="110"/>
      <c r="B219" s="111"/>
      <c r="C219" s="112"/>
      <c r="D219" s="113"/>
      <c r="E219" s="47"/>
      <c r="F219" s="48"/>
      <c r="G219" s="49"/>
      <c r="H219" s="49"/>
    </row>
    <row r="220" spans="1:8" ht="30.75" customHeight="1" hidden="1" thickBot="1">
      <c r="A220" s="143">
        <f>A214+1</f>
        <v>55</v>
      </c>
      <c r="B220" s="144" t="s">
        <v>202</v>
      </c>
      <c r="C220" s="145">
        <v>1</v>
      </c>
      <c r="D220" s="145" t="s">
        <v>203</v>
      </c>
      <c r="E220" s="72" t="s">
        <v>212</v>
      </c>
      <c r="F220" s="147">
        <f>VLOOKUP(D220,СГ1!$A$4:$I$23,3,TRUE)+VLOOKUP(D220,СГ1!$A$4:$I$23,2,TRUE)</f>
        <v>24470</v>
      </c>
      <c r="G220" s="148">
        <f>ROUND(F220*0.975,-1)</f>
        <v>23860</v>
      </c>
      <c r="H220" s="148">
        <f>ROUND(F220*0.95,-1)</f>
        <v>23250</v>
      </c>
    </row>
    <row r="221" spans="1:8" ht="27.75" customHeight="1" hidden="1" thickBot="1">
      <c r="A221" s="143"/>
      <c r="B221" s="149" t="s">
        <v>150</v>
      </c>
      <c r="C221" s="145"/>
      <c r="D221" s="145"/>
      <c r="E221" s="72"/>
      <c r="F221" s="147">
        <f>СГ1!C24</f>
        <v>2150</v>
      </c>
      <c r="G221" s="148"/>
      <c r="H221" s="148"/>
    </row>
    <row r="222" spans="1:16" ht="29.25" customHeight="1" hidden="1" thickBot="1">
      <c r="A222" s="143"/>
      <c r="B222" s="150" t="s">
        <v>141</v>
      </c>
      <c r="C222" s="151" t="s">
        <v>153</v>
      </c>
      <c r="D222" s="145" t="s">
        <v>203</v>
      </c>
      <c r="E222" s="72" t="s">
        <v>212</v>
      </c>
      <c r="F222" s="147">
        <f>VLOOKUP(D222,СГ1!$A$4:$I$23,2,TRUE)</f>
        <v>9720</v>
      </c>
      <c r="G222" s="148">
        <f>ROUND(F222*0.975,-1)</f>
        <v>9480</v>
      </c>
      <c r="H222" s="148">
        <f>ROUND(F222*0.95,-1)</f>
        <v>9230</v>
      </c>
      <c r="J222" s="101" t="s">
        <v>154</v>
      </c>
      <c r="K222" s="85" t="s">
        <v>155</v>
      </c>
      <c r="L222" s="100" t="s">
        <v>203</v>
      </c>
      <c r="M222" s="54" t="s">
        <v>212</v>
      </c>
      <c r="N222" s="97">
        <f>VLOOKUP(L222,СГ1!$A$4:$I$23,4,TRUE)+VLOOKUP(L222,СГ1!$A$4:$I$23,2,TRUE)</f>
        <v>9720</v>
      </c>
      <c r="O222" s="94">
        <f>ROUND(N222*0.975,-1)</f>
        <v>9480</v>
      </c>
      <c r="P222" s="94">
        <f>ROUND(N222*0.95,-1)</f>
        <v>9230</v>
      </c>
    </row>
    <row r="223" spans="1:8" ht="40.5" customHeight="1" hidden="1" thickBot="1">
      <c r="A223" s="152"/>
      <c r="B223" s="153" t="s">
        <v>156</v>
      </c>
      <c r="C223" s="154" t="s">
        <v>157</v>
      </c>
      <c r="D223" s="145" t="s">
        <v>203</v>
      </c>
      <c r="E223" s="72" t="s">
        <v>212</v>
      </c>
      <c r="F223" s="147"/>
      <c r="G223" s="148"/>
      <c r="H223" s="148"/>
    </row>
    <row r="224" spans="1:8" ht="41.25" customHeight="1" hidden="1" thickBot="1">
      <c r="A224" s="152"/>
      <c r="B224" s="153" t="s">
        <v>158</v>
      </c>
      <c r="C224" s="155" t="s">
        <v>166</v>
      </c>
      <c r="D224" s="145" t="s">
        <v>213</v>
      </c>
      <c r="E224" s="72" t="s">
        <v>212</v>
      </c>
      <c r="F224" s="147"/>
      <c r="G224" s="148"/>
      <c r="H224" s="148"/>
    </row>
    <row r="225" spans="1:8" ht="39" customHeight="1" hidden="1" thickBot="1">
      <c r="A225" s="110"/>
      <c r="B225" s="111"/>
      <c r="C225" s="112"/>
      <c r="D225" s="113"/>
      <c r="E225" s="47"/>
      <c r="F225" s="48"/>
      <c r="G225" s="49"/>
      <c r="H225" s="49"/>
    </row>
    <row r="226" spans="1:8" ht="32.25" customHeight="1" hidden="1" thickBot="1">
      <c r="A226" s="98">
        <f>A220+1</f>
        <v>56</v>
      </c>
      <c r="B226" s="114" t="s">
        <v>214</v>
      </c>
      <c r="C226" s="100">
        <v>1</v>
      </c>
      <c r="D226" s="100" t="s">
        <v>215</v>
      </c>
      <c r="E226" s="54" t="s">
        <v>216</v>
      </c>
      <c r="F226" s="97">
        <f>VLOOKUP(D226,СГ1!$A$4:$I$23,3,TRUE)+VLOOKUP(D226,СГ1!$A$4:$I$23,2,TRUE)</f>
        <v>19170</v>
      </c>
      <c r="G226" s="94">
        <f>ROUND(F226*0.975,-1)</f>
        <v>18690</v>
      </c>
      <c r="H226" s="94">
        <f>ROUND(F226*0.95,-1)</f>
        <v>18210</v>
      </c>
    </row>
    <row r="227" spans="1:8" ht="27" customHeight="1" hidden="1" thickBot="1">
      <c r="A227" s="98"/>
      <c r="B227" s="99" t="s">
        <v>150</v>
      </c>
      <c r="C227" s="100"/>
      <c r="D227" s="100"/>
      <c r="E227" s="54"/>
      <c r="F227" s="97">
        <f>СГ1!C24</f>
        <v>2150</v>
      </c>
      <c r="G227" s="94"/>
      <c r="H227" s="94"/>
    </row>
    <row r="228" spans="1:16" ht="29.25" customHeight="1" hidden="1" thickBot="1">
      <c r="A228" s="98"/>
      <c r="B228" s="93" t="s">
        <v>141</v>
      </c>
      <c r="C228" s="96" t="s">
        <v>153</v>
      </c>
      <c r="D228" s="100" t="s">
        <v>215</v>
      </c>
      <c r="E228" s="54" t="s">
        <v>216</v>
      </c>
      <c r="F228" s="97">
        <f>VLOOKUP(D228,СГ1!$A$4:$I$23,2,TRUE)</f>
        <v>9210</v>
      </c>
      <c r="G228" s="94">
        <f>ROUND(F228*0.975,-1)</f>
        <v>8980</v>
      </c>
      <c r="H228" s="94">
        <f>ROUND(F228*0.95,-1)</f>
        <v>8750</v>
      </c>
      <c r="J228" s="101" t="s">
        <v>154</v>
      </c>
      <c r="K228" s="85" t="s">
        <v>155</v>
      </c>
      <c r="L228" s="100" t="s">
        <v>215</v>
      </c>
      <c r="M228" s="54" t="s">
        <v>216</v>
      </c>
      <c r="N228" s="97">
        <f>VLOOKUP(L228,СГ1!$A$4:$I$23,4,TRUE)+VLOOKUP(L228,СГ1!$A$4:$I$23,2,TRUE)</f>
        <v>9210</v>
      </c>
      <c r="O228" s="94">
        <f>ROUND(N228*0.975,-1)</f>
        <v>8980</v>
      </c>
      <c r="P228" s="94">
        <f>ROUND(N228*0.95,-1)</f>
        <v>8750</v>
      </c>
    </row>
    <row r="229" spans="1:8" ht="38.25" customHeight="1" hidden="1" thickBot="1">
      <c r="A229" s="156"/>
      <c r="B229" s="157" t="s">
        <v>156</v>
      </c>
      <c r="C229" s="158" t="s">
        <v>157</v>
      </c>
      <c r="D229" s="159" t="s">
        <v>215</v>
      </c>
      <c r="E229" s="160" t="s">
        <v>216</v>
      </c>
      <c r="F229" s="161"/>
      <c r="G229" s="162"/>
      <c r="H229" s="162"/>
    </row>
    <row r="230" spans="1:8" ht="26.25" hidden="1" thickBot="1">
      <c r="A230" s="156"/>
      <c r="B230" s="157" t="s">
        <v>158</v>
      </c>
      <c r="C230" s="163" t="s">
        <v>166</v>
      </c>
      <c r="D230" s="159" t="s">
        <v>55</v>
      </c>
      <c r="E230" s="160" t="s">
        <v>216</v>
      </c>
      <c r="F230" s="161"/>
      <c r="G230" s="162"/>
      <c r="H230" s="162"/>
    </row>
    <row r="231" spans="1:8" ht="13.5" hidden="1" thickBot="1">
      <c r="A231" s="110"/>
      <c r="B231" s="111"/>
      <c r="C231" s="112"/>
      <c r="D231" s="113"/>
      <c r="E231" s="47"/>
      <c r="F231" s="48"/>
      <c r="G231" s="49"/>
      <c r="H231" s="49"/>
    </row>
    <row r="232" spans="1:8" ht="30" customHeight="1" hidden="1" thickBot="1">
      <c r="A232" s="98">
        <f>A226+1</f>
        <v>57</v>
      </c>
      <c r="B232" s="114" t="s">
        <v>217</v>
      </c>
      <c r="C232" s="100"/>
      <c r="D232" s="100" t="s">
        <v>48</v>
      </c>
      <c r="E232" s="54" t="s">
        <v>218</v>
      </c>
      <c r="F232" s="97">
        <f>VLOOKUP(D232,СГ1!$A$4:$I$23,3,TRUE)+VLOOKUP(D232,СГ1!$A$4:$I$23,2,TRUE)</f>
        <v>29510</v>
      </c>
      <c r="G232" s="94">
        <f>ROUND(F232*0.975,-1)</f>
        <v>28770</v>
      </c>
      <c r="H232" s="94">
        <f>ROUND(F232*0.95,-1)</f>
        <v>28030</v>
      </c>
    </row>
    <row r="233" spans="1:8" ht="28.5" customHeight="1" hidden="1" thickBot="1">
      <c r="A233" s="98"/>
      <c r="B233" s="99" t="s">
        <v>150</v>
      </c>
      <c r="C233" s="100"/>
      <c r="D233" s="100"/>
      <c r="E233" s="54"/>
      <c r="F233" s="97">
        <f>СГ1!C24</f>
        <v>2150</v>
      </c>
      <c r="G233" s="94"/>
      <c r="H233" s="94"/>
    </row>
    <row r="234" spans="1:16" ht="28.5" customHeight="1" hidden="1" thickBot="1">
      <c r="A234" s="98"/>
      <c r="B234" s="93" t="s">
        <v>141</v>
      </c>
      <c r="C234" s="96" t="s">
        <v>153</v>
      </c>
      <c r="D234" s="100" t="s">
        <v>48</v>
      </c>
      <c r="E234" s="54" t="s">
        <v>218</v>
      </c>
      <c r="F234" s="97">
        <f>VLOOKUP(D234,СГ1!$A$4:$I$23,2,TRUE)</f>
        <v>19550</v>
      </c>
      <c r="G234" s="94">
        <f>ROUND(F234*0.975,-1)</f>
        <v>19060</v>
      </c>
      <c r="H234" s="94">
        <f>ROUND(F234*0.95,-1)</f>
        <v>18570</v>
      </c>
      <c r="J234" s="101" t="s">
        <v>154</v>
      </c>
      <c r="K234" s="85" t="s">
        <v>155</v>
      </c>
      <c r="L234" s="100" t="s">
        <v>48</v>
      </c>
      <c r="M234" s="54" t="s">
        <v>218</v>
      </c>
      <c r="N234" s="97">
        <f>VLOOKUP(L234,СГ1!$A$4:$I$23,4,TRUE)+VLOOKUP(L234,СГ1!$A$4:$I$23,2,TRUE)</f>
        <v>19550</v>
      </c>
      <c r="O234" s="94">
        <f>ROUND(N234*0.975,-1)</f>
        <v>19060</v>
      </c>
      <c r="P234" s="94">
        <f>ROUND(N234*0.95,-1)</f>
        <v>18570</v>
      </c>
    </row>
    <row r="235" spans="1:8" ht="39.75" customHeight="1" hidden="1" thickBot="1">
      <c r="A235" s="146"/>
      <c r="B235" s="103" t="s">
        <v>156</v>
      </c>
      <c r="C235" s="104" t="s">
        <v>157</v>
      </c>
      <c r="D235" s="105" t="s">
        <v>48</v>
      </c>
      <c r="E235" s="37" t="s">
        <v>218</v>
      </c>
      <c r="F235" s="108"/>
      <c r="G235" s="109"/>
      <c r="H235" s="109"/>
    </row>
    <row r="236" spans="1:8" ht="26.25" hidden="1" thickBot="1">
      <c r="A236" s="146"/>
      <c r="B236" s="103" t="s">
        <v>158</v>
      </c>
      <c r="C236" s="135" t="s">
        <v>166</v>
      </c>
      <c r="D236" s="105" t="s">
        <v>72</v>
      </c>
      <c r="E236" s="37" t="s">
        <v>218</v>
      </c>
      <c r="F236" s="108"/>
      <c r="G236" s="109"/>
      <c r="H236" s="109"/>
    </row>
    <row r="237" spans="1:8" ht="13.5" hidden="1" thickBot="1">
      <c r="A237" s="110"/>
      <c r="B237" s="111"/>
      <c r="C237" s="112"/>
      <c r="D237" s="113"/>
      <c r="E237" s="47"/>
      <c r="F237" s="48"/>
      <c r="G237" s="49"/>
      <c r="H237" s="49"/>
    </row>
    <row r="238" spans="1:8" ht="28.5" customHeight="1" hidden="1" thickBot="1">
      <c r="A238" s="98">
        <f>A232+1</f>
        <v>58</v>
      </c>
      <c r="B238" s="114" t="s">
        <v>219</v>
      </c>
      <c r="C238" s="100" t="s">
        <v>14</v>
      </c>
      <c r="D238" s="100" t="s">
        <v>73</v>
      </c>
      <c r="E238" s="54" t="s">
        <v>220</v>
      </c>
      <c r="F238" s="97">
        <f>VLOOKUP(D238,СГ1!$A$4:$I$23,3,TRUE)+VLOOKUP(D238,СГ1!$A$4:$I$23,2,TRUE)</f>
        <v>28370</v>
      </c>
      <c r="G238" s="94">
        <f>ROUND(F238*0.975,-1)</f>
        <v>27660</v>
      </c>
      <c r="H238" s="94">
        <f>ROUND(F238*0.95,-1)</f>
        <v>26950</v>
      </c>
    </row>
    <row r="239" spans="1:8" ht="28.5" customHeight="1" hidden="1" thickBot="1">
      <c r="A239" s="98"/>
      <c r="B239" s="99" t="s">
        <v>150</v>
      </c>
      <c r="C239" s="100"/>
      <c r="D239" s="100"/>
      <c r="E239" s="54"/>
      <c r="F239" s="97">
        <f>СГ1!C24</f>
        <v>2150</v>
      </c>
      <c r="G239" s="94"/>
      <c r="H239" s="94"/>
    </row>
    <row r="240" spans="1:16" ht="25.5" customHeight="1" hidden="1" thickBot="1">
      <c r="A240" s="98"/>
      <c r="B240" s="93" t="s">
        <v>141</v>
      </c>
      <c r="C240" s="96" t="s">
        <v>153</v>
      </c>
      <c r="D240" s="100" t="s">
        <v>73</v>
      </c>
      <c r="E240" s="52" t="s">
        <v>221</v>
      </c>
      <c r="F240" s="97">
        <f>VLOOKUP(D240,СГ1!$A$4:$I$23,2,TRUE)</f>
        <v>18880</v>
      </c>
      <c r="G240" s="94">
        <f>ROUND(F240*0.975,-1)</f>
        <v>18410</v>
      </c>
      <c r="H240" s="94">
        <f>ROUND(F240*0.95,-1)</f>
        <v>17940</v>
      </c>
      <c r="J240" s="101" t="s">
        <v>154</v>
      </c>
      <c r="K240" s="85" t="s">
        <v>155</v>
      </c>
      <c r="L240" s="100" t="s">
        <v>73</v>
      </c>
      <c r="M240" s="52" t="s">
        <v>221</v>
      </c>
      <c r="N240" s="97">
        <f>VLOOKUP(L240,СГ1!$A$4:$I$23,4,TRUE)+VLOOKUP(L240,СГ1!$A$4:$I$23,2,TRUE)</f>
        <v>18880</v>
      </c>
      <c r="O240" s="94">
        <f>ROUND(N240*0.975,-1)</f>
        <v>18410</v>
      </c>
      <c r="P240" s="94">
        <f>ROUND(N240*0.95,-1)</f>
        <v>17940</v>
      </c>
    </row>
    <row r="241" spans="1:8" ht="39" customHeight="1" hidden="1" thickBot="1">
      <c r="A241" s="146"/>
      <c r="B241" s="103" t="s">
        <v>156</v>
      </c>
      <c r="C241" s="104" t="s">
        <v>157</v>
      </c>
      <c r="D241" s="105" t="s">
        <v>73</v>
      </c>
      <c r="E241" s="37" t="s">
        <v>220</v>
      </c>
      <c r="F241" s="108"/>
      <c r="G241" s="109"/>
      <c r="H241" s="109"/>
    </row>
    <row r="242" spans="1:8" ht="39.75" customHeight="1" hidden="1" thickBot="1">
      <c r="A242" s="146"/>
      <c r="B242" s="103" t="s">
        <v>158</v>
      </c>
      <c r="C242" s="135" t="s">
        <v>166</v>
      </c>
      <c r="D242" s="105" t="s">
        <v>74</v>
      </c>
      <c r="E242" s="37" t="s">
        <v>220</v>
      </c>
      <c r="F242" s="108"/>
      <c r="G242" s="109"/>
      <c r="H242" s="109"/>
    </row>
    <row r="243" spans="1:8" ht="28.5" customHeight="1" hidden="1" thickBot="1">
      <c r="A243" s="110"/>
      <c r="B243" s="111"/>
      <c r="C243" s="112"/>
      <c r="D243" s="113"/>
      <c r="E243" s="47"/>
      <c r="F243" s="48"/>
      <c r="G243" s="49"/>
      <c r="H243" s="49"/>
    </row>
    <row r="244" spans="1:8" ht="26.25" customHeight="1" hidden="1" thickBot="1">
      <c r="A244" s="98">
        <f>A238+1</f>
        <v>59</v>
      </c>
      <c r="B244" s="114" t="s">
        <v>222</v>
      </c>
      <c r="C244" s="100" t="s">
        <v>14</v>
      </c>
      <c r="D244" s="100" t="s">
        <v>73</v>
      </c>
      <c r="E244" s="54" t="s">
        <v>223</v>
      </c>
      <c r="F244" s="97">
        <f>VLOOKUP(D244,СГ1!$A$4:$I$23,3,TRUE)+VLOOKUP(D244,СГ1!$A$4:$I$23,2,TRUE)</f>
        <v>28370</v>
      </c>
      <c r="G244" s="94">
        <f>ROUND(F244*0.975,-1)</f>
        <v>27660</v>
      </c>
      <c r="H244" s="94">
        <f>ROUND(F244*0.95,-1)</f>
        <v>26950</v>
      </c>
    </row>
    <row r="245" spans="1:8" ht="24" customHeight="1" hidden="1" thickBot="1">
      <c r="A245" s="98"/>
      <c r="B245" s="99" t="s">
        <v>150</v>
      </c>
      <c r="C245" s="100"/>
      <c r="D245" s="100"/>
      <c r="E245" s="54"/>
      <c r="F245" s="97">
        <f>СГ1!C24</f>
        <v>2150</v>
      </c>
      <c r="G245" s="94"/>
      <c r="H245" s="94"/>
    </row>
    <row r="246" spans="1:16" ht="24.75" customHeight="1" hidden="1" thickBot="1">
      <c r="A246" s="98"/>
      <c r="B246" s="93" t="s">
        <v>141</v>
      </c>
      <c r="C246" s="96" t="s">
        <v>153</v>
      </c>
      <c r="D246" s="100" t="s">
        <v>73</v>
      </c>
      <c r="E246" s="52" t="s">
        <v>221</v>
      </c>
      <c r="F246" s="97">
        <f>VLOOKUP(D246,СГ1!$A$4:$I$23,2,TRUE)</f>
        <v>18880</v>
      </c>
      <c r="G246" s="94">
        <f>ROUND(F246*0.975,-1)</f>
        <v>18410</v>
      </c>
      <c r="H246" s="94">
        <f>ROUND(F246*0.95,-1)</f>
        <v>17940</v>
      </c>
      <c r="J246" s="101" t="s">
        <v>154</v>
      </c>
      <c r="K246" s="85" t="s">
        <v>155</v>
      </c>
      <c r="L246" s="100" t="s">
        <v>73</v>
      </c>
      <c r="M246" s="52" t="s">
        <v>221</v>
      </c>
      <c r="N246" s="97">
        <f>VLOOKUP(L246,СГ1!$A$4:$I$23,4,TRUE)+VLOOKUP(L246,СГ1!$A$4:$I$23,2,TRUE)</f>
        <v>18880</v>
      </c>
      <c r="O246" s="94">
        <f>ROUND(N246*0.975,-1)</f>
        <v>18410</v>
      </c>
      <c r="P246" s="94">
        <f>ROUND(N246*0.95,-1)</f>
        <v>17940</v>
      </c>
    </row>
    <row r="247" spans="1:8" ht="39" customHeight="1" hidden="1" thickBot="1">
      <c r="A247" s="146"/>
      <c r="B247" s="103" t="s">
        <v>156</v>
      </c>
      <c r="C247" s="104" t="s">
        <v>157</v>
      </c>
      <c r="D247" s="105" t="s">
        <v>73</v>
      </c>
      <c r="E247" s="37" t="s">
        <v>223</v>
      </c>
      <c r="F247" s="108"/>
      <c r="G247" s="109"/>
      <c r="H247" s="109"/>
    </row>
    <row r="248" spans="1:8" ht="36.75" customHeight="1" hidden="1" thickBot="1">
      <c r="A248" s="146"/>
      <c r="B248" s="103" t="s">
        <v>158</v>
      </c>
      <c r="C248" s="135" t="s">
        <v>166</v>
      </c>
      <c r="D248" s="105" t="s">
        <v>74</v>
      </c>
      <c r="E248" s="37" t="s">
        <v>223</v>
      </c>
      <c r="F248" s="108"/>
      <c r="G248" s="109"/>
      <c r="H248" s="109"/>
    </row>
    <row r="249" spans="1:8" ht="28.5" customHeight="1" hidden="1" thickBot="1">
      <c r="A249" s="110"/>
      <c r="B249" s="111"/>
      <c r="C249" s="112"/>
      <c r="D249" s="113"/>
      <c r="E249" s="47"/>
      <c r="F249" s="48"/>
      <c r="G249" s="49"/>
      <c r="H249" s="49"/>
    </row>
    <row r="250" spans="1:8" ht="27" customHeight="1" hidden="1" thickBot="1">
      <c r="A250" s="98">
        <f>A244+1</f>
        <v>60</v>
      </c>
      <c r="B250" s="114" t="s">
        <v>224</v>
      </c>
      <c r="C250" s="100" t="s">
        <v>14</v>
      </c>
      <c r="D250" s="100" t="s">
        <v>89</v>
      </c>
      <c r="E250" s="54" t="s">
        <v>218</v>
      </c>
      <c r="F250" s="97">
        <f>VLOOKUP(D250,СГ1!$A$4:$I$23,3,TRUE)+VLOOKUP(D250,СГ1!$A$4:$I$23,2,TRUE)</f>
        <v>21940</v>
      </c>
      <c r="G250" s="94">
        <f>ROUND(F250*0.975,-1)</f>
        <v>21390</v>
      </c>
      <c r="H250" s="94">
        <f>ROUND(F250*0.95,-1)</f>
        <v>20840</v>
      </c>
    </row>
    <row r="251" spans="1:8" ht="24.75" customHeight="1" hidden="1" thickBot="1">
      <c r="A251" s="11"/>
      <c r="B251" s="99" t="s">
        <v>150</v>
      </c>
      <c r="C251" s="96"/>
      <c r="D251" s="41"/>
      <c r="E251" s="54"/>
      <c r="F251" s="97">
        <f>СГ1!C24</f>
        <v>2150</v>
      </c>
      <c r="G251" s="94"/>
      <c r="H251" s="94"/>
    </row>
    <row r="252" spans="1:16" ht="24" customHeight="1" hidden="1" thickBot="1">
      <c r="A252" s="98"/>
      <c r="B252" s="93" t="s">
        <v>141</v>
      </c>
      <c r="C252" s="96" t="s">
        <v>153</v>
      </c>
      <c r="D252" s="100" t="s">
        <v>89</v>
      </c>
      <c r="E252" s="54" t="s">
        <v>218</v>
      </c>
      <c r="F252" s="97">
        <f>VLOOKUP(D252,СГ1!$A$4:$I$23,2,TRUE)</f>
        <v>11980</v>
      </c>
      <c r="G252" s="94">
        <f>ROUND(F252*0.975,-1)</f>
        <v>11680</v>
      </c>
      <c r="H252" s="94">
        <f>ROUND(F252*0.95,-1)</f>
        <v>11380</v>
      </c>
      <c r="J252" s="101" t="s">
        <v>154</v>
      </c>
      <c r="K252" s="85" t="s">
        <v>155</v>
      </c>
      <c r="L252" s="100" t="s">
        <v>89</v>
      </c>
      <c r="M252" s="54" t="s">
        <v>218</v>
      </c>
      <c r="N252" s="97">
        <f>VLOOKUP(L252,СГ1!$A$4:$I$23,4,TRUE)+VLOOKUP(L252,СГ1!$A$4:$I$23,2,TRUE)</f>
        <v>11980</v>
      </c>
      <c r="O252" s="94">
        <f>ROUND(N252*0.975,-1)</f>
        <v>11680</v>
      </c>
      <c r="P252" s="94">
        <f>ROUND(N252*0.95,-1)</f>
        <v>11380</v>
      </c>
    </row>
    <row r="253" spans="1:8" ht="42.75" customHeight="1" hidden="1" thickBot="1">
      <c r="A253" s="146"/>
      <c r="B253" s="103" t="s">
        <v>156</v>
      </c>
      <c r="C253" s="104" t="s">
        <v>157</v>
      </c>
      <c r="D253" s="105" t="s">
        <v>89</v>
      </c>
      <c r="E253" s="37" t="s">
        <v>218</v>
      </c>
      <c r="F253" s="108"/>
      <c r="G253" s="109"/>
      <c r="H253" s="109"/>
    </row>
    <row r="254" spans="1:8" ht="36.75" customHeight="1" hidden="1" thickBot="1">
      <c r="A254" s="146"/>
      <c r="B254" s="103" t="s">
        <v>225</v>
      </c>
      <c r="C254" s="135" t="s">
        <v>166</v>
      </c>
      <c r="D254" s="105" t="s">
        <v>71</v>
      </c>
      <c r="E254" s="37" t="s">
        <v>218</v>
      </c>
      <c r="F254" s="108"/>
      <c r="G254" s="109"/>
      <c r="H254" s="109"/>
    </row>
    <row r="255" spans="1:8" ht="28.5" customHeight="1" hidden="1" thickBot="1">
      <c r="A255" s="43"/>
      <c r="B255" s="88"/>
      <c r="C255" s="89"/>
      <c r="D255" s="90"/>
      <c r="E255" s="47"/>
      <c r="F255" s="48"/>
      <c r="G255" s="49"/>
      <c r="H255" s="49"/>
    </row>
    <row r="256" spans="1:8" ht="15.75" customHeight="1" hidden="1" thickBot="1">
      <c r="A256" s="86">
        <f>A250+1</f>
        <v>61</v>
      </c>
      <c r="B256" s="164" t="s">
        <v>226</v>
      </c>
      <c r="C256" s="165" t="s">
        <v>14</v>
      </c>
      <c r="D256" s="86" t="s">
        <v>117</v>
      </c>
      <c r="E256" s="54" t="s">
        <v>227</v>
      </c>
      <c r="F256" s="166">
        <f>VLOOKUP(D256,СГ1!$A$4:$I$23,3,TRUE)+VLOOKUP(D256,СГ1!$A$4:$I$23,2,TRUE)</f>
        <v>32680</v>
      </c>
      <c r="G256" s="94">
        <f>ROUND(F256*0.975,-1)</f>
        <v>31860</v>
      </c>
      <c r="H256" s="94">
        <f>ROUND(F256*0.95,-1)</f>
        <v>31050</v>
      </c>
    </row>
    <row r="257" spans="1:8" ht="16.5" customHeight="1" hidden="1" thickBot="1">
      <c r="A257" s="86"/>
      <c r="B257" s="99" t="s">
        <v>150</v>
      </c>
      <c r="C257" s="96"/>
      <c r="D257" s="41"/>
      <c r="E257" s="54"/>
      <c r="F257" s="166">
        <f>СГ1!C24</f>
        <v>2150</v>
      </c>
      <c r="G257" s="94"/>
      <c r="H257" s="94"/>
    </row>
    <row r="258" spans="1:8" ht="15.75" customHeight="1" hidden="1" thickBot="1">
      <c r="A258" s="167"/>
      <c r="B258" s="168" t="s">
        <v>228</v>
      </c>
      <c r="C258" s="85" t="s">
        <v>10</v>
      </c>
      <c r="D258" s="86" t="s">
        <v>117</v>
      </c>
      <c r="E258" s="54" t="s">
        <v>227</v>
      </c>
      <c r="F258" s="166">
        <f>VLOOKUP(D258,СГ1!$A$4:$I$23,2,TRUE)</f>
        <v>22720</v>
      </c>
      <c r="G258" s="94">
        <f>ROUND(F258*0.975,-1)</f>
        <v>22150</v>
      </c>
      <c r="H258" s="94">
        <f>ROUND(F258*0.95,-1)</f>
        <v>21580</v>
      </c>
    </row>
    <row r="259" spans="1:8" ht="18" customHeight="1" hidden="1" thickBot="1">
      <c r="A259" s="43"/>
      <c r="B259" s="88"/>
      <c r="C259" s="89"/>
      <c r="D259" s="90"/>
      <c r="E259" s="47"/>
      <c r="F259" s="48"/>
      <c r="G259" s="49"/>
      <c r="H259" s="49"/>
    </row>
    <row r="260" spans="1:8" ht="26.25" customHeight="1" hidden="1" thickBot="1">
      <c r="A260" s="84">
        <f>A256+1</f>
        <v>62</v>
      </c>
      <c r="B260" s="164" t="s">
        <v>229</v>
      </c>
      <c r="C260" s="169" t="s">
        <v>14</v>
      </c>
      <c r="D260" s="86" t="s">
        <v>117</v>
      </c>
      <c r="E260" s="54" t="s">
        <v>230</v>
      </c>
      <c r="F260" s="166">
        <f>VLOOKUP(D260,СГ1!$A$4:$I$23,3,TRUE)+VLOOKUP(D260,СГ1!$A$4:$I$23,2,TRUE)</f>
        <v>32680</v>
      </c>
      <c r="G260" s="94">
        <f>ROUND(F260*0.975,-1)</f>
        <v>31860</v>
      </c>
      <c r="H260" s="94">
        <f>ROUND(F260*0.95,-1)</f>
        <v>31050</v>
      </c>
    </row>
    <row r="261" spans="1:8" ht="24.75" customHeight="1" hidden="1" thickBot="1">
      <c r="A261" s="86"/>
      <c r="B261" s="99" t="s">
        <v>150</v>
      </c>
      <c r="C261" s="169"/>
      <c r="D261" s="41"/>
      <c r="E261" s="54"/>
      <c r="F261" s="166">
        <f>СГ1!C24</f>
        <v>2150</v>
      </c>
      <c r="G261" s="94"/>
      <c r="H261" s="94"/>
    </row>
    <row r="262" spans="1:8" ht="16.5" hidden="1" thickBot="1">
      <c r="A262" s="167"/>
      <c r="B262" s="168" t="s">
        <v>228</v>
      </c>
      <c r="C262" s="85" t="s">
        <v>10</v>
      </c>
      <c r="D262" s="41" t="s">
        <v>117</v>
      </c>
      <c r="E262" s="54" t="s">
        <v>230</v>
      </c>
      <c r="F262" s="166">
        <f>VLOOKUP(D262,СГ1!$A$4:$I$23,2,TRUE)</f>
        <v>22720</v>
      </c>
      <c r="G262" s="94">
        <f>ROUND(F262*0.975,-1)</f>
        <v>22150</v>
      </c>
      <c r="H262" s="94">
        <f>ROUND(F262*0.95,-1)</f>
        <v>21580</v>
      </c>
    </row>
    <row r="263" ht="15" customHeight="1" hidden="1">
      <c r="A263" s="170"/>
    </row>
    <row r="264" spans="1:8" ht="12.75" hidden="1">
      <c r="A264" s="3"/>
      <c r="B264" s="3"/>
      <c r="C264" s="3"/>
      <c r="D264" s="3"/>
      <c r="E264" s="3"/>
      <c r="F264" s="535"/>
      <c r="G264" s="3"/>
      <c r="H264" s="3"/>
    </row>
    <row r="265" ht="12.75" hidden="1">
      <c r="A265" s="171" t="s">
        <v>186</v>
      </c>
    </row>
    <row r="266" ht="12.75" customHeight="1" hidden="1">
      <c r="A266" s="172" t="s">
        <v>187</v>
      </c>
    </row>
    <row r="267" ht="18.75" customHeight="1" hidden="1">
      <c r="A267" s="172" t="s">
        <v>188</v>
      </c>
    </row>
    <row r="268" ht="21" customHeight="1" hidden="1" thickBot="1">
      <c r="A268" s="170"/>
    </row>
    <row r="269" spans="1:8" ht="37.5" customHeight="1" hidden="1" thickBot="1">
      <c r="A269" s="1066" t="s">
        <v>231</v>
      </c>
      <c r="B269" s="1066"/>
      <c r="C269" s="1066"/>
      <c r="D269" s="1066"/>
      <c r="E269" s="1067" t="s">
        <v>232</v>
      </c>
      <c r="F269" s="1067"/>
      <c r="G269" s="1067"/>
      <c r="H269" s="1067"/>
    </row>
    <row r="270" spans="1:8" ht="32.25" customHeight="1" hidden="1" thickBot="1">
      <c r="A270" s="10" t="s">
        <v>7</v>
      </c>
      <c r="B270" s="1061" t="s">
        <v>0</v>
      </c>
      <c r="C270" s="1062" t="s">
        <v>1</v>
      </c>
      <c r="D270" s="1062" t="s">
        <v>2</v>
      </c>
      <c r="E270" s="1062" t="s">
        <v>3</v>
      </c>
      <c r="F270" s="1063" t="s">
        <v>8</v>
      </c>
      <c r="G270" s="1063"/>
      <c r="H270" s="1063"/>
    </row>
    <row r="271" spans="1:8" ht="28.5" customHeight="1" hidden="1" thickBot="1">
      <c r="A271" s="12"/>
      <c r="B271" s="1061"/>
      <c r="C271" s="1062" t="s">
        <v>9</v>
      </c>
      <c r="D271" s="1062"/>
      <c r="E271" s="1062"/>
      <c r="F271" s="13" t="s">
        <v>10</v>
      </c>
      <c r="G271" s="14" t="s">
        <v>11</v>
      </c>
      <c r="H271" s="15" t="s">
        <v>12</v>
      </c>
    </row>
    <row r="272" spans="1:8" ht="64.5" hidden="1" thickBot="1">
      <c r="A272" s="23"/>
      <c r="B272" s="40" t="s">
        <v>235</v>
      </c>
      <c r="C272" s="18" t="s">
        <v>14</v>
      </c>
      <c r="D272" s="56" t="s">
        <v>81</v>
      </c>
      <c r="E272" s="54" t="s">
        <v>77</v>
      </c>
      <c r="F272" s="25"/>
      <c r="G272" s="42"/>
      <c r="H272" s="42"/>
    </row>
    <row r="273" ht="12.75" hidden="1">
      <c r="E273" s="1"/>
    </row>
    <row r="274" ht="19.5" customHeight="1" hidden="1" thickBot="1">
      <c r="E274" s="1"/>
    </row>
    <row r="275" spans="1:9" ht="24.75" customHeight="1" thickBot="1">
      <c r="A275" s="1064" t="s">
        <v>236</v>
      </c>
      <c r="B275" s="1064"/>
      <c r="C275" s="1064"/>
      <c r="D275" s="1064"/>
      <c r="E275" s="1067" t="s">
        <v>496</v>
      </c>
      <c r="F275" s="1067"/>
      <c r="G275" s="1067"/>
      <c r="H275" s="1067"/>
      <c r="I275" s="3" t="s">
        <v>305</v>
      </c>
    </row>
    <row r="276" spans="1:9" ht="24" customHeight="1" thickBot="1">
      <c r="A276" s="10" t="s">
        <v>7</v>
      </c>
      <c r="B276" s="1061" t="s">
        <v>0</v>
      </c>
      <c r="C276" s="1062" t="s">
        <v>1</v>
      </c>
      <c r="D276" s="1062" t="s">
        <v>2</v>
      </c>
      <c r="E276" s="1062" t="s">
        <v>3</v>
      </c>
      <c r="F276" s="1063" t="s">
        <v>8</v>
      </c>
      <c r="G276" s="1063"/>
      <c r="H276" s="1063"/>
      <c r="I276" s="3" t="s">
        <v>305</v>
      </c>
    </row>
    <row r="277" spans="1:9" ht="19.5" customHeight="1">
      <c r="A277" s="12"/>
      <c r="B277" s="1061"/>
      <c r="C277" s="1062" t="s">
        <v>9</v>
      </c>
      <c r="D277" s="1062"/>
      <c r="E277" s="1062"/>
      <c r="F277" s="13" t="s">
        <v>10</v>
      </c>
      <c r="G277" s="14" t="s">
        <v>237</v>
      </c>
      <c r="H277" s="15" t="s">
        <v>238</v>
      </c>
      <c r="I277" s="3" t="s">
        <v>305</v>
      </c>
    </row>
    <row r="278" spans="1:17" ht="24.75" customHeight="1">
      <c r="A278" s="174">
        <f>1</f>
        <v>1</v>
      </c>
      <c r="B278" s="175" t="s">
        <v>239</v>
      </c>
      <c r="C278" s="169">
        <v>1</v>
      </c>
      <c r="D278" s="169" t="s">
        <v>215</v>
      </c>
      <c r="E278" s="169"/>
      <c r="F278" s="176">
        <f>VLOOKUP(D278,СГИ!$H$13:$I$16,2,TRUE)</f>
        <v>105950</v>
      </c>
      <c r="G278" s="94">
        <f>ROUND(F278*0.975,-1)</f>
        <v>103300</v>
      </c>
      <c r="H278" s="94">
        <f>ROUND(F278*0.95,-1)</f>
        <v>100650</v>
      </c>
      <c r="Q278" s="3" t="s">
        <v>305</v>
      </c>
    </row>
    <row r="279" spans="1:8" ht="13.5">
      <c r="A279" s="174">
        <f>A278+1</f>
        <v>2</v>
      </c>
      <c r="B279" s="177" t="s">
        <v>240</v>
      </c>
      <c r="C279" s="169">
        <v>2</v>
      </c>
      <c r="D279" s="169" t="s">
        <v>241</v>
      </c>
      <c r="E279" s="169"/>
      <c r="F279" s="176">
        <f>VLOOKUP(D279,СГИ!$H$13:$I$16,2,TRUE)</f>
        <v>206590</v>
      </c>
      <c r="G279" s="94">
        <f>ROUND(F279*0.975,-1)</f>
        <v>201430</v>
      </c>
      <c r="H279" s="94">
        <f>ROUND(F279*0.95,-1)</f>
        <v>196260</v>
      </c>
    </row>
    <row r="280" spans="1:8" ht="13.5">
      <c r="A280" s="174">
        <f>A279+1</f>
        <v>3</v>
      </c>
      <c r="B280" s="177" t="s">
        <v>242</v>
      </c>
      <c r="C280" s="169">
        <v>3</v>
      </c>
      <c r="D280" s="169" t="s">
        <v>243</v>
      </c>
      <c r="E280" s="169"/>
      <c r="F280" s="176">
        <f>VLOOKUP(D280,СГИ!$H$13:$I$16,2,TRUE)</f>
        <v>238380</v>
      </c>
      <c r="G280" s="94">
        <f>ROUND(F280*0.975,-1)</f>
        <v>232420</v>
      </c>
      <c r="H280" s="94">
        <f>ROUND(F280*0.95,-1)</f>
        <v>226460</v>
      </c>
    </row>
    <row r="281" spans="1:8" ht="13.5">
      <c r="A281" s="174">
        <f>A280+1</f>
        <v>4</v>
      </c>
      <c r="B281" s="177" t="s">
        <v>244</v>
      </c>
      <c r="C281" s="169" t="s">
        <v>18</v>
      </c>
      <c r="D281" s="169" t="s">
        <v>245</v>
      </c>
      <c r="E281" s="169"/>
      <c r="F281" s="176">
        <f>VLOOKUP(D281,СГИ!$H$13:$I$16,2,TRUE)</f>
        <v>172170</v>
      </c>
      <c r="G281" s="94">
        <f>ROUND(F281*0.975,-1)</f>
        <v>167870</v>
      </c>
      <c r="H281" s="94">
        <f>ROUND(F281*0.95,-1)</f>
        <v>163560</v>
      </c>
    </row>
    <row r="282" spans="1:8" ht="12.75">
      <c r="A282" s="43"/>
      <c r="B282" s="88"/>
      <c r="C282" s="89"/>
      <c r="D282" s="90"/>
      <c r="E282" s="47"/>
      <c r="F282" s="48"/>
      <c r="G282" s="49"/>
      <c r="H282" s="49"/>
    </row>
    <row r="283" spans="4:17" ht="12.75">
      <c r="D283" s="1" t="s">
        <v>305</v>
      </c>
      <c r="E283" s="1"/>
      <c r="F283" s="536" t="s">
        <v>305</v>
      </c>
      <c r="Q283" s="3" t="s">
        <v>305</v>
      </c>
    </row>
    <row r="284" spans="1:8" ht="24.75" customHeight="1" thickBot="1">
      <c r="A284" s="1064" t="s">
        <v>246</v>
      </c>
      <c r="B284" s="1064"/>
      <c r="C284" s="1064"/>
      <c r="D284" s="1064"/>
      <c r="E284" s="1067"/>
      <c r="F284" s="1067"/>
      <c r="G284" s="1067"/>
      <c r="H284" s="1067"/>
    </row>
    <row r="285" spans="1:18" ht="24.75" customHeight="1" thickBot="1">
      <c r="A285" s="10" t="s">
        <v>7</v>
      </c>
      <c r="B285" s="1061" t="s">
        <v>0</v>
      </c>
      <c r="C285" s="1071"/>
      <c r="D285" s="1072"/>
      <c r="E285" s="1073"/>
      <c r="F285" s="1063" t="s">
        <v>8</v>
      </c>
      <c r="G285" s="1063"/>
      <c r="H285" s="1063"/>
      <c r="R285" s="3" t="s">
        <v>305</v>
      </c>
    </row>
    <row r="286" spans="1:18" ht="18" customHeight="1" thickBot="1">
      <c r="A286" s="12"/>
      <c r="B286" s="1061"/>
      <c r="C286" s="1074"/>
      <c r="D286" s="1075"/>
      <c r="E286" s="1076"/>
      <c r="F286" s="13" t="s">
        <v>10</v>
      </c>
      <c r="G286" s="14" t="s">
        <v>11</v>
      </c>
      <c r="H286" s="15" t="s">
        <v>12</v>
      </c>
      <c r="R286" s="3" t="s">
        <v>305</v>
      </c>
    </row>
    <row r="287" spans="1:8" ht="26.25" thickBot="1">
      <c r="A287" s="174">
        <f>A281+1</f>
        <v>5</v>
      </c>
      <c r="B287" s="50" t="str">
        <f>СГИ!$H18</f>
        <v>Анализатор остаточного активного хлора в воде ВАКХ-2000</v>
      </c>
      <c r="C287" s="1053"/>
      <c r="D287" s="1080"/>
      <c r="E287" s="1054"/>
      <c r="F287" s="178">
        <v>55190</v>
      </c>
      <c r="G287" s="94">
        <f aca="true" t="shared" si="16" ref="G287:G292">ROUND(F287*0.975,-1)</f>
        <v>53810</v>
      </c>
      <c r="H287" s="94">
        <f aca="true" t="shared" si="17" ref="H287:H292">ROUND(F287*0.95,-1)</f>
        <v>52430</v>
      </c>
    </row>
    <row r="288" spans="1:17" ht="39" thickBot="1">
      <c r="A288" s="174">
        <f>A287+1</f>
        <v>6</v>
      </c>
      <c r="B288" s="50" t="str">
        <f>СГИ!$H19</f>
        <v>Анализатор остаточного активного хлора в воде ВАКХ-2000С, стационарный, лабораторный, полуавтоматический</v>
      </c>
      <c r="C288" s="1053"/>
      <c r="D288" s="1080"/>
      <c r="E288" s="1054"/>
      <c r="F288" s="178">
        <v>70720</v>
      </c>
      <c r="G288" s="94">
        <f t="shared" si="16"/>
        <v>68950</v>
      </c>
      <c r="H288" s="94">
        <f t="shared" si="17"/>
        <v>67180</v>
      </c>
      <c r="Q288" s="3" t="s">
        <v>305</v>
      </c>
    </row>
    <row r="289" spans="1:8" ht="60.75" customHeight="1" thickBot="1">
      <c r="A289" s="174">
        <f>A288+1</f>
        <v>7</v>
      </c>
      <c r="B289" s="50" t="str">
        <f>СГИ!$H20</f>
        <v>Анализатор остаточного активного хлора в воде ВАКХ-2000С, стационарный, проточный, автоматический</v>
      </c>
      <c r="C289" s="1053" t="s">
        <v>780</v>
      </c>
      <c r="D289" s="1080"/>
      <c r="E289" s="1054"/>
      <c r="F289" s="178">
        <v>142320</v>
      </c>
      <c r="G289" s="94">
        <f t="shared" si="16"/>
        <v>138760</v>
      </c>
      <c r="H289" s="94">
        <f t="shared" si="17"/>
        <v>135200</v>
      </c>
    </row>
    <row r="290" spans="1:9" ht="39" thickBot="1">
      <c r="A290" s="174">
        <f>A289+1</f>
        <v>8</v>
      </c>
      <c r="B290" s="50" t="str">
        <f>СГИ!$H22</f>
        <v>Анализатор элементного состава "ТОПАЗ-C" с управляющим компьютером и устройством подачи чистого воздуха</v>
      </c>
      <c r="C290" s="1053"/>
      <c r="D290" s="1080"/>
      <c r="E290" s="1054"/>
      <c r="F290" s="178">
        <v>742800</v>
      </c>
      <c r="G290" s="94">
        <f t="shared" si="16"/>
        <v>724230</v>
      </c>
      <c r="H290" s="94">
        <f t="shared" si="17"/>
        <v>705660</v>
      </c>
      <c r="I290" s="539" t="s">
        <v>305</v>
      </c>
    </row>
    <row r="291" spans="1:9" ht="39" thickBot="1">
      <c r="A291" s="174">
        <f>A290+1</f>
        <v>9</v>
      </c>
      <c r="B291" s="50" t="str">
        <f>СГИ!$H23</f>
        <v>Анализатор элементного состава "ТОПАЗ-N" с управляющим компьютером и устройством подачи чистого воздуха</v>
      </c>
      <c r="C291" s="1053"/>
      <c r="D291" s="1080"/>
      <c r="E291" s="1054"/>
      <c r="F291" s="178">
        <v>772780</v>
      </c>
      <c r="G291" s="94">
        <f t="shared" si="16"/>
        <v>753460</v>
      </c>
      <c r="H291" s="94">
        <f t="shared" si="17"/>
        <v>734140</v>
      </c>
      <c r="I291" s="539">
        <f ca="1">IF(TODAY()&lt;42736,"цена снижена на 20% до января 2017 года, дополнительные скидки не предусмотрены","")</f>
      </c>
    </row>
    <row r="292" spans="1:9" ht="49.5" customHeight="1" thickBot="1">
      <c r="A292" s="174">
        <f>A291+1</f>
        <v>10</v>
      </c>
      <c r="B292" s="50" t="str">
        <f>СГИ!$H24</f>
        <v>Анализатор элементного состава "ТОПАЗ-NC" с управляющим компьютером и устройством подачи чистого воздуха</v>
      </c>
      <c r="C292" s="1053"/>
      <c r="D292" s="1080"/>
      <c r="E292" s="1054"/>
      <c r="F292" s="178">
        <v>967140</v>
      </c>
      <c r="G292" s="94">
        <f t="shared" si="16"/>
        <v>942960</v>
      </c>
      <c r="H292" s="94">
        <f t="shared" si="17"/>
        <v>918780</v>
      </c>
      <c r="I292" s="539">
        <f ca="1">IF(TODAY()&lt;42736,"цена снижена на 20% до января 2017 года, дополнительные скидки не предусмотрены","")</f>
      </c>
    </row>
    <row r="293" ht="19.5" customHeight="1" thickBot="1">
      <c r="A293" s="179"/>
    </row>
    <row r="294" spans="1:8" ht="21" customHeight="1">
      <c r="A294" s="1064" t="s">
        <v>249</v>
      </c>
      <c r="B294" s="1064"/>
      <c r="C294" s="1064"/>
      <c r="D294" s="1064"/>
      <c r="E294" s="1067"/>
      <c r="F294" s="1067"/>
      <c r="G294" s="1067"/>
      <c r="H294" s="1067"/>
    </row>
    <row r="295" spans="1:8" ht="24.75" customHeight="1">
      <c r="A295" s="10" t="s">
        <v>7</v>
      </c>
      <c r="B295" s="1061" t="s">
        <v>0</v>
      </c>
      <c r="C295" s="1062" t="s">
        <v>1</v>
      </c>
      <c r="D295" s="1062" t="s">
        <v>920</v>
      </c>
      <c r="E295" s="1062" t="s">
        <v>3</v>
      </c>
      <c r="F295" s="1063" t="s">
        <v>8</v>
      </c>
      <c r="G295" s="1063"/>
      <c r="H295" s="1063"/>
    </row>
    <row r="296" spans="1:8" ht="13.5" thickBot="1">
      <c r="A296" s="12"/>
      <c r="B296" s="1061"/>
      <c r="C296" s="1062" t="s">
        <v>9</v>
      </c>
      <c r="D296" s="1062"/>
      <c r="E296" s="1062"/>
      <c r="F296" s="13" t="s">
        <v>10</v>
      </c>
      <c r="G296" s="14" t="s">
        <v>11</v>
      </c>
      <c r="H296" s="15" t="s">
        <v>12</v>
      </c>
    </row>
    <row r="297" spans="1:9" ht="16.5" thickBot="1">
      <c r="A297" s="174"/>
      <c r="B297" s="181" t="s">
        <v>474</v>
      </c>
      <c r="C297" s="182">
        <v>2</v>
      </c>
      <c r="D297" s="174"/>
      <c r="E297" s="91" t="s">
        <v>251</v>
      </c>
      <c r="F297" s="183">
        <f>VLOOKUP(B297,СГИ!$H$26:$I$35,2,TRUE)</f>
        <v>393970</v>
      </c>
      <c r="G297" s="94">
        <f aca="true" t="shared" si="18" ref="G297:G305">ROUND(F297*0.975,-1)</f>
        <v>384120</v>
      </c>
      <c r="H297" s="94">
        <f>ROUND(F297*0.95,-1)</f>
        <v>374270</v>
      </c>
      <c r="I297" s="3" t="s">
        <v>919</v>
      </c>
    </row>
    <row r="298" spans="1:9" ht="16.5" thickBot="1">
      <c r="A298" s="180">
        <f>A292+1</f>
        <v>11</v>
      </c>
      <c r="B298" s="181" t="s">
        <v>250</v>
      </c>
      <c r="C298" s="182">
        <v>2</v>
      </c>
      <c r="D298" s="91"/>
      <c r="E298" s="91" t="s">
        <v>251</v>
      </c>
      <c r="F298" s="183">
        <f>VLOOKUP(B298,СГИ!$H$26:$I$35,2,TRUE)</f>
        <v>346220</v>
      </c>
      <c r="G298" s="94">
        <f t="shared" si="18"/>
        <v>337560</v>
      </c>
      <c r="H298" s="94">
        <f aca="true" t="shared" si="19" ref="H298:H305">ROUND(F298*0.95,-1)</f>
        <v>328910</v>
      </c>
      <c r="I298" s="3" t="s">
        <v>919</v>
      </c>
    </row>
    <row r="299" spans="1:9" ht="16.5" thickBot="1">
      <c r="A299" s="180">
        <f aca="true" t="shared" si="20" ref="A299:A305">A298+1</f>
        <v>12</v>
      </c>
      <c r="B299" s="181" t="s">
        <v>252</v>
      </c>
      <c r="C299" s="182">
        <v>2</v>
      </c>
      <c r="D299" s="91"/>
      <c r="E299" s="91" t="s">
        <v>251</v>
      </c>
      <c r="F299" s="183">
        <f>VLOOKUP(B299,СГИ!$H$26:$I$35,2,TRUE)</f>
        <v>298460</v>
      </c>
      <c r="G299" s="94">
        <f t="shared" si="18"/>
        <v>291000</v>
      </c>
      <c r="H299" s="94">
        <f t="shared" si="19"/>
        <v>283540</v>
      </c>
      <c r="I299" s="3" t="s">
        <v>919</v>
      </c>
    </row>
    <row r="300" spans="1:8" ht="16.5" thickBot="1">
      <c r="A300" s="180">
        <f t="shared" si="20"/>
        <v>13</v>
      </c>
      <c r="B300" s="181" t="s">
        <v>488</v>
      </c>
      <c r="C300" s="182">
        <v>1</v>
      </c>
      <c r="D300" s="91" t="s">
        <v>48</v>
      </c>
      <c r="E300" s="91" t="s">
        <v>253</v>
      </c>
      <c r="F300" s="183">
        <f>VLOOKUP(B300,СГИ!$H$26:$I$35,2,TRUE)</f>
        <v>666470</v>
      </c>
      <c r="G300" s="94">
        <f t="shared" si="18"/>
        <v>649810</v>
      </c>
      <c r="H300" s="94">
        <f t="shared" si="19"/>
        <v>633150</v>
      </c>
    </row>
    <row r="301" spans="1:8" ht="32.25" thickBot="1">
      <c r="A301" s="180">
        <f t="shared" si="20"/>
        <v>14</v>
      </c>
      <c r="B301" s="181" t="s">
        <v>485</v>
      </c>
      <c r="C301" s="182">
        <v>2</v>
      </c>
      <c r="D301" s="91" t="s">
        <v>486</v>
      </c>
      <c r="E301" s="91" t="s">
        <v>487</v>
      </c>
      <c r="F301" s="183">
        <f>VLOOKUP(B301,СГИ!$H$26:$I$35,2,TRUE)</f>
        <v>875940</v>
      </c>
      <c r="G301" s="94">
        <f t="shared" si="18"/>
        <v>854040</v>
      </c>
      <c r="H301" s="94">
        <f>ROUND(F301*0.95,-1)</f>
        <v>832140</v>
      </c>
    </row>
    <row r="302" spans="1:8" ht="16.5" thickBot="1">
      <c r="A302" s="180">
        <f t="shared" si="20"/>
        <v>15</v>
      </c>
      <c r="B302" s="181" t="s">
        <v>254</v>
      </c>
      <c r="C302" s="182">
        <v>1</v>
      </c>
      <c r="D302" s="91" t="s">
        <v>255</v>
      </c>
      <c r="E302" s="91" t="s">
        <v>256</v>
      </c>
      <c r="F302" s="183">
        <f>VLOOKUP(B302,СГИ!$H$26:$I$35,2,TRUE)</f>
        <v>419100</v>
      </c>
      <c r="G302" s="94">
        <f t="shared" si="18"/>
        <v>408620</v>
      </c>
      <c r="H302" s="94">
        <f t="shared" si="19"/>
        <v>398150</v>
      </c>
    </row>
    <row r="303" spans="1:8" ht="15.75">
      <c r="A303" s="180">
        <f t="shared" si="20"/>
        <v>16</v>
      </c>
      <c r="B303" s="181" t="s">
        <v>257</v>
      </c>
      <c r="C303" s="182">
        <v>1</v>
      </c>
      <c r="D303" s="91" t="s">
        <v>258</v>
      </c>
      <c r="E303" s="91" t="s">
        <v>259</v>
      </c>
      <c r="F303" s="183">
        <f>VLOOKUP(B303,СГИ!$H$26:$I$35,2,TRUE)</f>
        <v>666470</v>
      </c>
      <c r="G303" s="94">
        <f t="shared" si="18"/>
        <v>649810</v>
      </c>
      <c r="H303" s="94">
        <f t="shared" si="19"/>
        <v>633150</v>
      </c>
    </row>
    <row r="304" spans="1:8" ht="15.75">
      <c r="A304" s="180">
        <f t="shared" si="20"/>
        <v>17</v>
      </c>
      <c r="B304" s="181" t="s">
        <v>260</v>
      </c>
      <c r="C304" s="182">
        <v>1</v>
      </c>
      <c r="D304" s="91" t="s">
        <v>117</v>
      </c>
      <c r="E304" s="184" t="s">
        <v>261</v>
      </c>
      <c r="F304" s="183">
        <f>VLOOKUP(B304,СГИ!$H$26:$I$35,2,TRUE)</f>
        <v>1023270</v>
      </c>
      <c r="G304" s="94">
        <f t="shared" si="18"/>
        <v>997690</v>
      </c>
      <c r="H304" s="94">
        <f t="shared" si="19"/>
        <v>972110</v>
      </c>
    </row>
    <row r="305" spans="1:8" ht="16.5" thickBot="1">
      <c r="A305" s="180">
        <f t="shared" si="20"/>
        <v>18</v>
      </c>
      <c r="B305" s="181" t="s">
        <v>262</v>
      </c>
      <c r="C305" s="182">
        <v>1</v>
      </c>
      <c r="D305" s="91" t="s">
        <v>263</v>
      </c>
      <c r="E305" s="91" t="s">
        <v>264</v>
      </c>
      <c r="F305" s="183">
        <f>VLOOKUP(B305,СГИ!$H$26:$I$35,2,TRUE)</f>
        <v>636290</v>
      </c>
      <c r="G305" s="94">
        <f t="shared" si="18"/>
        <v>620380</v>
      </c>
      <c r="H305" s="94">
        <f t="shared" si="19"/>
        <v>604480</v>
      </c>
    </row>
    <row r="306" ht="18.75" customHeight="1" thickBot="1">
      <c r="E306" s="1"/>
    </row>
    <row r="307" ht="19.5" customHeight="1" hidden="1" thickBot="1">
      <c r="E307" s="1"/>
    </row>
    <row r="308" spans="1:8" ht="17.25" customHeight="1" thickBot="1">
      <c r="A308" s="1064" t="s">
        <v>266</v>
      </c>
      <c r="B308" s="1064"/>
      <c r="C308" s="1064"/>
      <c r="D308" s="1064"/>
      <c r="E308" s="185"/>
      <c r="F308" s="1063" t="s">
        <v>267</v>
      </c>
      <c r="G308" s="1063"/>
      <c r="H308" s="1063"/>
    </row>
    <row r="309" spans="1:8" ht="13.5" thickBot="1">
      <c r="A309" s="180">
        <f>A305+1</f>
        <v>19</v>
      </c>
      <c r="B309" s="50" t="s">
        <v>268</v>
      </c>
      <c r="C309" s="893" t="s">
        <v>379</v>
      </c>
      <c r="D309" s="1053"/>
      <c r="E309" s="1054"/>
      <c r="F309" s="178">
        <f>VLOOKUP(B309,СГИ!$K$16:$L$28,2,TRUE)</f>
        <v>4610</v>
      </c>
      <c r="G309" s="178">
        <f>VLOOKUP(B309,СГИ!$K$16:$N$28,3,TRUE)</f>
        <v>5030</v>
      </c>
      <c r="H309" s="178">
        <f>VLOOKUP(B309,СГИ!$K$16:$N$28,4,TRUE)</f>
        <v>6670</v>
      </c>
    </row>
    <row r="310" spans="1:8" ht="13.5" thickBot="1">
      <c r="A310" s="180">
        <f aca="true" t="shared" si="21" ref="A310:A321">A309+1</f>
        <v>20</v>
      </c>
      <c r="B310" s="50" t="s">
        <v>269</v>
      </c>
      <c r="C310" s="893" t="s">
        <v>380</v>
      </c>
      <c r="D310" s="1053"/>
      <c r="E310" s="1054"/>
      <c r="F310" s="178">
        <f>VLOOKUP(B310,СГИ!$K$16:$L$28,2,TRUE)</f>
        <v>4610</v>
      </c>
      <c r="G310" s="166">
        <f>VLOOKUP(B310,СГИ!$K$16:$N$28,3,TRUE)</f>
        <v>5030</v>
      </c>
      <c r="H310" s="178">
        <v>6670</v>
      </c>
    </row>
    <row r="311" spans="1:8" ht="13.5" thickBot="1">
      <c r="A311" s="180">
        <f t="shared" si="21"/>
        <v>21</v>
      </c>
      <c r="B311" s="50" t="s">
        <v>270</v>
      </c>
      <c r="C311" s="893" t="s">
        <v>263</v>
      </c>
      <c r="D311" s="1053"/>
      <c r="E311" s="1054"/>
      <c r="F311" s="178">
        <f>VLOOKUP(B311,СГИ!$K$16:$L$28,2,TRUE)</f>
        <v>4610</v>
      </c>
      <c r="G311" s="547">
        <f>VLOOKUP(B311,СГИ!$K$16:$N$28,3,TRUE)</f>
        <v>5030</v>
      </c>
      <c r="H311" s="178">
        <v>6670</v>
      </c>
    </row>
    <row r="312" spans="1:8" ht="13.5" thickBot="1">
      <c r="A312" s="180">
        <f t="shared" si="21"/>
        <v>22</v>
      </c>
      <c r="B312" s="50" t="s">
        <v>271</v>
      </c>
      <c r="C312" s="893" t="s">
        <v>381</v>
      </c>
      <c r="D312" s="1053"/>
      <c r="E312" s="1054"/>
      <c r="F312" s="546">
        <f>VLOOKUP(B312,СГИ!$K$16:$L$28,2,TRUE)</f>
        <v>4610</v>
      </c>
      <c r="G312" s="548">
        <f>VLOOKUP(B312,СГИ!$K$16:$N$28,3,TRUE)</f>
        <v>5030</v>
      </c>
      <c r="H312" s="178">
        <v>6670</v>
      </c>
    </row>
    <row r="313" spans="1:8" ht="13.5" thickBot="1">
      <c r="A313" s="180">
        <f t="shared" si="21"/>
        <v>23</v>
      </c>
      <c r="B313" s="50" t="s">
        <v>272</v>
      </c>
      <c r="C313" s="893" t="s">
        <v>759</v>
      </c>
      <c r="D313" s="1053"/>
      <c r="E313" s="1054"/>
      <c r="F313" s="178">
        <f>VLOOKUP(B313,СГИ!$K$16:$L$28,2,TRUE)</f>
        <v>2150</v>
      </c>
      <c r="G313" s="549"/>
      <c r="H313" s="178"/>
    </row>
    <row r="314" spans="1:8" ht="13.5" thickBot="1">
      <c r="A314" s="180">
        <f t="shared" si="21"/>
        <v>24</v>
      </c>
      <c r="B314" s="50" t="s">
        <v>273</v>
      </c>
      <c r="C314" s="893" t="s">
        <v>378</v>
      </c>
      <c r="D314" s="1053"/>
      <c r="E314" s="1054"/>
      <c r="F314" s="546">
        <f>VLOOKUP(B314,СГИ!$K$16:$L$28,2,TRUE)</f>
        <v>4610</v>
      </c>
      <c r="G314" s="548">
        <f>VLOOKUP(B314,СГИ!$K$16:$N$28,3,TRUE)</f>
        <v>5030</v>
      </c>
      <c r="H314" s="178">
        <v>6670</v>
      </c>
    </row>
    <row r="315" spans="1:8" ht="13.5" thickBot="1">
      <c r="A315" s="180">
        <f t="shared" si="21"/>
        <v>25</v>
      </c>
      <c r="B315" s="50" t="s">
        <v>274</v>
      </c>
      <c r="C315" s="893" t="s">
        <v>136</v>
      </c>
      <c r="D315" s="1053"/>
      <c r="E315" s="1054"/>
      <c r="F315" s="546">
        <f>VLOOKUP(B315,СГИ!$K$16:$L$28,2,TRUE)</f>
        <v>4610</v>
      </c>
      <c r="G315" s="548">
        <f>VLOOKUP(B315,СГИ!$K$16:$N$28,3,TRUE)</f>
        <v>5030</v>
      </c>
      <c r="H315" s="166">
        <f>VLOOKUP(B315,СГИ!$K$16:$N$28,4,TRUE)</f>
        <v>7000</v>
      </c>
    </row>
    <row r="316" spans="1:8" ht="13.5" thickBot="1">
      <c r="A316" s="180">
        <f t="shared" si="21"/>
        <v>26</v>
      </c>
      <c r="B316" s="17" t="s">
        <v>275</v>
      </c>
      <c r="C316" s="894" t="s">
        <v>758</v>
      </c>
      <c r="D316" s="1057"/>
      <c r="E316" s="1058"/>
      <c r="F316" s="183">
        <f>VLOOKUP(B316,СГИ!$K$16:$L$28,2,TRUE)</f>
        <v>6760</v>
      </c>
      <c r="G316" s="25"/>
      <c r="H316" s="166">
        <v>8460</v>
      </c>
    </row>
    <row r="317" spans="1:8" ht="13.5" thickBot="1">
      <c r="A317" s="180">
        <f t="shared" si="21"/>
        <v>27</v>
      </c>
      <c r="B317" s="50" t="s">
        <v>276</v>
      </c>
      <c r="C317" s="893" t="s">
        <v>117</v>
      </c>
      <c r="D317" s="1053"/>
      <c r="E317" s="1054"/>
      <c r="F317" s="178">
        <f>VLOOKUP(B317,СГИ!$K$16:$L$28,2,TRUE)</f>
        <v>6760</v>
      </c>
      <c r="G317" s="178"/>
      <c r="H317" s="166">
        <f>VLOOKUP(B317,СГИ!$K$16:$N$28,4,TRUE)</f>
        <v>8880</v>
      </c>
    </row>
    <row r="318" spans="1:8" ht="13.5" thickBot="1">
      <c r="A318" s="180">
        <f t="shared" si="21"/>
        <v>28</v>
      </c>
      <c r="B318" s="50" t="s">
        <v>277</v>
      </c>
      <c r="C318" s="893" t="s">
        <v>371</v>
      </c>
      <c r="D318" s="1053"/>
      <c r="E318" s="1054"/>
      <c r="F318" s="178">
        <f>VLOOKUP(B318,СГИ!$K$16:$L$28,2,TRUE)</f>
        <v>4610</v>
      </c>
      <c r="G318" s="166">
        <f>VLOOKUP(B318,СГИ!$K$16:$N$28,3,TRUE)</f>
        <v>5030</v>
      </c>
      <c r="H318" s="166">
        <v>6670</v>
      </c>
    </row>
    <row r="319" spans="1:8" ht="13.5" thickBot="1">
      <c r="A319" s="180">
        <f t="shared" si="21"/>
        <v>29</v>
      </c>
      <c r="B319" s="50" t="s">
        <v>278</v>
      </c>
      <c r="C319" s="893" t="s">
        <v>48</v>
      </c>
      <c r="D319" s="1053"/>
      <c r="E319" s="1054"/>
      <c r="F319" s="178">
        <f>VLOOKUP(B319,СГИ!$K$16:$L$28,2,TRUE)</f>
        <v>6760</v>
      </c>
      <c r="G319" s="94"/>
      <c r="H319" s="166">
        <v>8460</v>
      </c>
    </row>
    <row r="320" spans="1:8" ht="13.5" thickBot="1">
      <c r="A320" s="180">
        <f t="shared" si="21"/>
        <v>30</v>
      </c>
      <c r="B320" s="50" t="s">
        <v>482</v>
      </c>
      <c r="C320" s="893" t="s">
        <v>258</v>
      </c>
      <c r="D320" s="1053"/>
      <c r="E320" s="1054"/>
      <c r="F320" s="178">
        <f>VLOOKUP(B320,СГИ!$K$16:$L$28,2,TRUE)</f>
        <v>13860</v>
      </c>
      <c r="G320" s="94"/>
      <c r="H320" s="166">
        <v>13200</v>
      </c>
    </row>
    <row r="321" spans="1:8" ht="13.5" thickBot="1">
      <c r="A321" s="968">
        <f t="shared" si="21"/>
        <v>31</v>
      </c>
      <c r="B321" s="79" t="s">
        <v>279</v>
      </c>
      <c r="C321" s="969"/>
      <c r="D321" s="1055"/>
      <c r="E321" s="1056"/>
      <c r="F321" s="547">
        <f>VLOOKUP(B321,СГИ!$K$16:$L$28,2,TRUE)</f>
        <v>4330</v>
      </c>
      <c r="G321" s="970"/>
      <c r="H321" s="970"/>
    </row>
    <row r="322" spans="1:8" ht="19.5" customHeight="1">
      <c r="A322" s="971"/>
      <c r="B322" s="753" t="s">
        <v>280</v>
      </c>
      <c r="C322" s="753"/>
      <c r="D322" s="753"/>
      <c r="E322" s="972"/>
      <c r="F322" s="973"/>
      <c r="G322" s="753"/>
      <c r="H322" s="621"/>
    </row>
    <row r="323" spans="1:8" ht="19.5" customHeight="1" thickBot="1">
      <c r="A323" s="974"/>
      <c r="B323" s="975" t="s">
        <v>880</v>
      </c>
      <c r="C323" s="976"/>
      <c r="D323" s="976"/>
      <c r="E323" s="977"/>
      <c r="F323" s="864"/>
      <c r="G323" s="976"/>
      <c r="H323" s="771"/>
    </row>
    <row r="324" ht="19.5" customHeight="1" thickBot="1">
      <c r="A324" s="170"/>
    </row>
    <row r="325" spans="1:8" ht="16.5" customHeight="1" thickBot="1">
      <c r="A325" s="1051" t="s">
        <v>281</v>
      </c>
      <c r="B325" s="1052"/>
      <c r="C325" s="1052"/>
      <c r="D325" s="1048" t="s">
        <v>267</v>
      </c>
      <c r="E325" s="1049"/>
      <c r="F325" s="1048"/>
      <c r="G325" s="1049"/>
      <c r="H325" s="1050"/>
    </row>
    <row r="326" spans="1:249" ht="90" customHeight="1" thickBot="1">
      <c r="A326" s="169"/>
      <c r="B326" s="93"/>
      <c r="C326" s="186"/>
      <c r="D326" s="1039" t="s">
        <v>890</v>
      </c>
      <c r="E326" s="1040" t="s">
        <v>891</v>
      </c>
      <c r="F326" s="1042" t="s">
        <v>892</v>
      </c>
      <c r="G326" s="1040" t="s">
        <v>893</v>
      </c>
      <c r="H326" s="1040" t="s">
        <v>917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</row>
    <row r="327" spans="1:245" ht="13.5" thickBot="1">
      <c r="A327" s="180">
        <f>A321+1</f>
        <v>32</v>
      </c>
      <c r="B327" s="93" t="s">
        <v>894</v>
      </c>
      <c r="C327" s="54"/>
      <c r="D327" s="1036">
        <v>10040</v>
      </c>
      <c r="E327" s="1041">
        <f>D327+2100</f>
        <v>12140</v>
      </c>
      <c r="F327" s="1041">
        <f>D327+1680</f>
        <v>11720</v>
      </c>
      <c r="G327" s="21">
        <f>D327+1050</f>
        <v>11090</v>
      </c>
      <c r="H327" s="25">
        <f>D327*1.55</f>
        <v>15562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</row>
    <row r="328" spans="1:245" ht="13.5" thickBot="1">
      <c r="A328" s="180">
        <f aca="true" t="shared" si="22" ref="A328:A341">A327+1</f>
        <v>33</v>
      </c>
      <c r="B328" s="93" t="s">
        <v>895</v>
      </c>
      <c r="C328" s="54"/>
      <c r="D328" s="1036">
        <v>7950</v>
      </c>
      <c r="E328" s="1041">
        <f aca="true" t="shared" si="23" ref="E328:E341">D328+2100</f>
        <v>10050</v>
      </c>
      <c r="F328" s="1041">
        <f aca="true" t="shared" si="24" ref="F328:F341">D328+1680</f>
        <v>9630</v>
      </c>
      <c r="G328" s="21">
        <f aca="true" t="shared" si="25" ref="G328:G341">D328+1050</f>
        <v>9000</v>
      </c>
      <c r="H328" s="25" t="s">
        <v>923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</row>
    <row r="329" spans="1:245" ht="13.5" thickBot="1">
      <c r="A329" s="180">
        <f t="shared" si="22"/>
        <v>34</v>
      </c>
      <c r="B329" s="93" t="s">
        <v>896</v>
      </c>
      <c r="C329" s="54"/>
      <c r="D329" s="1036">
        <v>7950</v>
      </c>
      <c r="E329" s="1041">
        <f t="shared" si="23"/>
        <v>10050</v>
      </c>
      <c r="F329" s="1041">
        <f t="shared" si="24"/>
        <v>9630</v>
      </c>
      <c r="G329" s="21">
        <f t="shared" si="25"/>
        <v>9000</v>
      </c>
      <c r="H329" s="25" t="s">
        <v>923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</row>
    <row r="330" spans="1:245" ht="14.25" customHeight="1" thickBot="1">
      <c r="A330" s="180">
        <f t="shared" si="22"/>
        <v>35</v>
      </c>
      <c r="B330" s="93" t="s">
        <v>897</v>
      </c>
      <c r="C330" s="54"/>
      <c r="D330" s="1036">
        <v>7950</v>
      </c>
      <c r="E330" s="1041">
        <f t="shared" si="23"/>
        <v>10050</v>
      </c>
      <c r="F330" s="1041">
        <f t="shared" si="24"/>
        <v>9630</v>
      </c>
      <c r="G330" s="21">
        <f t="shared" si="25"/>
        <v>9000</v>
      </c>
      <c r="H330" s="25" t="s">
        <v>923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</row>
    <row r="331" spans="1:245" ht="13.5" thickBot="1">
      <c r="A331" s="180">
        <f t="shared" si="22"/>
        <v>36</v>
      </c>
      <c r="B331" s="93" t="s">
        <v>898</v>
      </c>
      <c r="C331" s="54"/>
      <c r="D331" s="1036">
        <v>7950</v>
      </c>
      <c r="E331" s="1041">
        <f t="shared" si="23"/>
        <v>10050</v>
      </c>
      <c r="F331" s="1041">
        <f t="shared" si="24"/>
        <v>9630</v>
      </c>
      <c r="G331" s="21">
        <f t="shared" si="25"/>
        <v>9000</v>
      </c>
      <c r="H331" s="25" t="s">
        <v>923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</row>
    <row r="332" spans="1:245" ht="13.5" thickBot="1">
      <c r="A332" s="180">
        <f t="shared" si="22"/>
        <v>37</v>
      </c>
      <c r="B332" s="93" t="s">
        <v>899</v>
      </c>
      <c r="C332" s="54"/>
      <c r="D332" s="1037">
        <v>21810</v>
      </c>
      <c r="E332" s="1041">
        <f t="shared" si="23"/>
        <v>23910</v>
      </c>
      <c r="F332" s="1041">
        <f t="shared" si="24"/>
        <v>23490</v>
      </c>
      <c r="G332" s="21">
        <f t="shared" si="25"/>
        <v>22860</v>
      </c>
      <c r="H332" s="25">
        <v>33810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</row>
    <row r="333" spans="1:245" ht="13.5" thickBot="1">
      <c r="A333" s="180">
        <f t="shared" si="22"/>
        <v>38</v>
      </c>
      <c r="B333" s="93" t="s">
        <v>900</v>
      </c>
      <c r="C333" s="54"/>
      <c r="D333" s="1036">
        <v>9720</v>
      </c>
      <c r="E333" s="1041">
        <f t="shared" si="23"/>
        <v>11820</v>
      </c>
      <c r="F333" s="1041">
        <f t="shared" si="24"/>
        <v>11400</v>
      </c>
      <c r="G333" s="21">
        <f t="shared" si="25"/>
        <v>10770</v>
      </c>
      <c r="H333" s="25">
        <v>15060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</row>
    <row r="334" spans="1:245" ht="13.5" thickBot="1">
      <c r="A334" s="180">
        <f t="shared" si="22"/>
        <v>39</v>
      </c>
      <c r="B334" s="93" t="s">
        <v>901</v>
      </c>
      <c r="C334" s="54"/>
      <c r="D334" s="1037">
        <v>10230</v>
      </c>
      <c r="E334" s="1041">
        <f t="shared" si="23"/>
        <v>12330</v>
      </c>
      <c r="F334" s="1041">
        <f t="shared" si="24"/>
        <v>11910</v>
      </c>
      <c r="G334" s="21">
        <f t="shared" si="25"/>
        <v>11280</v>
      </c>
      <c r="H334" s="25">
        <v>15860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</row>
    <row r="335" spans="1:245" ht="13.5" thickBot="1">
      <c r="A335" s="180">
        <f t="shared" si="22"/>
        <v>40</v>
      </c>
      <c r="B335" s="93" t="s">
        <v>902</v>
      </c>
      <c r="C335" s="54"/>
      <c r="D335" s="1037">
        <v>10640</v>
      </c>
      <c r="E335" s="1041">
        <f t="shared" si="23"/>
        <v>12740</v>
      </c>
      <c r="F335" s="1041">
        <f t="shared" si="24"/>
        <v>12320</v>
      </c>
      <c r="G335" s="21">
        <f t="shared" si="25"/>
        <v>11690</v>
      </c>
      <c r="H335" s="25">
        <v>16490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</row>
    <row r="336" spans="1:245" ht="13.5" thickBot="1">
      <c r="A336" s="180">
        <f t="shared" si="22"/>
        <v>41</v>
      </c>
      <c r="B336" s="93" t="s">
        <v>903</v>
      </c>
      <c r="C336" s="54"/>
      <c r="D336" s="1037">
        <v>11480</v>
      </c>
      <c r="E336" s="1041">
        <f t="shared" si="23"/>
        <v>13580</v>
      </c>
      <c r="F336" s="1041">
        <f t="shared" si="24"/>
        <v>13160</v>
      </c>
      <c r="G336" s="21">
        <f t="shared" si="25"/>
        <v>12530</v>
      </c>
      <c r="H336" s="25">
        <v>17800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</row>
    <row r="337" spans="1:245" ht="13.5" thickBot="1">
      <c r="A337" s="180">
        <f t="shared" si="22"/>
        <v>42</v>
      </c>
      <c r="B337" s="93" t="s">
        <v>904</v>
      </c>
      <c r="C337" s="54"/>
      <c r="D337" s="1037">
        <v>10640</v>
      </c>
      <c r="E337" s="1041">
        <f t="shared" si="23"/>
        <v>12740</v>
      </c>
      <c r="F337" s="1041">
        <f t="shared" si="24"/>
        <v>12320</v>
      </c>
      <c r="G337" s="21">
        <f t="shared" si="25"/>
        <v>11690</v>
      </c>
      <c r="H337" s="25">
        <v>16490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</row>
    <row r="338" spans="1:245" ht="13.5" thickBot="1">
      <c r="A338" s="180">
        <f t="shared" si="22"/>
        <v>43</v>
      </c>
      <c r="B338" s="93" t="s">
        <v>905</v>
      </c>
      <c r="C338" s="54"/>
      <c r="D338" s="1037">
        <v>18750</v>
      </c>
      <c r="E338" s="1041">
        <f t="shared" si="23"/>
        <v>20850</v>
      </c>
      <c r="F338" s="1041">
        <f t="shared" si="24"/>
        <v>20430</v>
      </c>
      <c r="G338" s="21">
        <f t="shared" si="25"/>
        <v>19800</v>
      </c>
      <c r="H338" s="25">
        <v>29060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</row>
    <row r="339" spans="1:245" ht="13.5" thickBot="1">
      <c r="A339" s="180">
        <f t="shared" si="22"/>
        <v>44</v>
      </c>
      <c r="B339" s="93" t="s">
        <v>906</v>
      </c>
      <c r="C339" s="52"/>
      <c r="D339" s="1037">
        <v>21810</v>
      </c>
      <c r="E339" s="1041">
        <f t="shared" si="23"/>
        <v>23910</v>
      </c>
      <c r="F339" s="1041">
        <f t="shared" si="24"/>
        <v>23490</v>
      </c>
      <c r="G339" s="21">
        <f t="shared" si="25"/>
        <v>22860</v>
      </c>
      <c r="H339" s="25" t="s">
        <v>923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</row>
    <row r="340" spans="1:245" ht="13.5" thickBot="1">
      <c r="A340" s="180">
        <f t="shared" si="22"/>
        <v>45</v>
      </c>
      <c r="B340" s="93" t="s">
        <v>907</v>
      </c>
      <c r="C340" s="54"/>
      <c r="D340" s="1037">
        <v>13840</v>
      </c>
      <c r="E340" s="1041">
        <f t="shared" si="23"/>
        <v>15940</v>
      </c>
      <c r="F340" s="1041">
        <f t="shared" si="24"/>
        <v>15520</v>
      </c>
      <c r="G340" s="21">
        <f t="shared" si="25"/>
        <v>14890</v>
      </c>
      <c r="H340" s="25">
        <v>21450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</row>
    <row r="341" spans="1:245" ht="13.5" thickBot="1">
      <c r="A341" s="180">
        <f t="shared" si="22"/>
        <v>46</v>
      </c>
      <c r="B341" s="93" t="s">
        <v>908</v>
      </c>
      <c r="C341" s="54"/>
      <c r="D341" s="1038">
        <v>22420</v>
      </c>
      <c r="E341" s="1041">
        <f t="shared" si="23"/>
        <v>24520</v>
      </c>
      <c r="F341" s="1041">
        <f t="shared" si="24"/>
        <v>24100</v>
      </c>
      <c r="G341" s="21">
        <f t="shared" si="25"/>
        <v>23470</v>
      </c>
      <c r="H341" s="25">
        <v>34750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</row>
    <row r="342" spans="1:245" ht="22.5" customHeight="1">
      <c r="A342" s="1077" t="s">
        <v>493</v>
      </c>
      <c r="B342" s="1077"/>
      <c r="C342" s="1077"/>
      <c r="D342" s="1077"/>
      <c r="E342" s="1079"/>
      <c r="F342" s="1079"/>
      <c r="G342" s="1079"/>
      <c r="H342" s="1077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</row>
    <row r="343" spans="1:249" ht="13.5" thickBot="1">
      <c r="A343" s="180">
        <f>A341+1</f>
        <v>47</v>
      </c>
      <c r="B343" s="50" t="s">
        <v>494</v>
      </c>
      <c r="C343" s="50"/>
      <c r="D343" s="50"/>
      <c r="E343" s="50"/>
      <c r="F343" s="184" t="s">
        <v>922</v>
      </c>
      <c r="G343" s="50"/>
      <c r="H343" s="50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</row>
    <row r="344" spans="1:249" ht="26.25" thickBot="1">
      <c r="A344" s="180">
        <f>A343+1</f>
        <v>48</v>
      </c>
      <c r="B344" s="50" t="s">
        <v>481</v>
      </c>
      <c r="C344" s="50"/>
      <c r="D344" s="50"/>
      <c r="E344" s="50"/>
      <c r="F344" s="184">
        <v>11120</v>
      </c>
      <c r="G344" s="50"/>
      <c r="H344" s="50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</row>
    <row r="345" spans="1:256" ht="13.5" thickBot="1">
      <c r="A345" s="180">
        <f aca="true" t="shared" si="26" ref="A345:A350">A344+1</f>
        <v>49</v>
      </c>
      <c r="B345" s="50" t="s">
        <v>495</v>
      </c>
      <c r="C345" s="50"/>
      <c r="D345" s="50"/>
      <c r="E345" s="50"/>
      <c r="F345" s="184">
        <v>2740</v>
      </c>
      <c r="G345" s="50"/>
      <c r="H345" s="50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1:256" ht="13.5" thickBot="1">
      <c r="A346" s="180">
        <f t="shared" si="26"/>
        <v>50</v>
      </c>
      <c r="B346" s="50" t="s">
        <v>475</v>
      </c>
      <c r="C346" s="50"/>
      <c r="D346" s="50"/>
      <c r="E346" s="50"/>
      <c r="F346" s="184">
        <v>5050</v>
      </c>
      <c r="G346" s="50"/>
      <c r="H346" s="50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1:256" ht="13.5" thickBot="1">
      <c r="A347" s="180">
        <f t="shared" si="26"/>
        <v>51</v>
      </c>
      <c r="B347" s="50" t="s">
        <v>476</v>
      </c>
      <c r="C347" s="50"/>
      <c r="D347" s="50"/>
      <c r="E347" s="50"/>
      <c r="F347" s="184" t="s">
        <v>922</v>
      </c>
      <c r="G347" s="50"/>
      <c r="H347" s="50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1:256" ht="13.5" thickBot="1">
      <c r="A348" s="180">
        <f t="shared" si="26"/>
        <v>52</v>
      </c>
      <c r="B348" s="50" t="s">
        <v>477</v>
      </c>
      <c r="C348" s="50"/>
      <c r="D348" s="50"/>
      <c r="E348" s="50"/>
      <c r="F348" s="184" t="s">
        <v>922</v>
      </c>
      <c r="G348" s="50"/>
      <c r="H348" s="50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1:256" ht="13.5" thickBot="1">
      <c r="A349" s="180">
        <f t="shared" si="26"/>
        <v>53</v>
      </c>
      <c r="B349" s="50" t="s">
        <v>478</v>
      </c>
      <c r="C349" s="50"/>
      <c r="D349" s="50"/>
      <c r="E349" s="50"/>
      <c r="F349" s="184">
        <v>5050</v>
      </c>
      <c r="G349" s="50"/>
      <c r="H349" s="50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1:256" ht="13.5" thickBot="1">
      <c r="A350" s="180">
        <f t="shared" si="26"/>
        <v>54</v>
      </c>
      <c r="B350" s="50" t="s">
        <v>484</v>
      </c>
      <c r="C350" s="50"/>
      <c r="D350" s="50"/>
      <c r="E350" s="50"/>
      <c r="F350" s="184">
        <v>170</v>
      </c>
      <c r="G350" s="50"/>
      <c r="H350" s="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1:256" ht="22.5" customHeight="1">
      <c r="A351" s="1077" t="s">
        <v>285</v>
      </c>
      <c r="B351" s="1077"/>
      <c r="C351" s="1077"/>
      <c r="D351" s="1077"/>
      <c r="E351" s="1077"/>
      <c r="F351" s="1077"/>
      <c r="G351" s="1077"/>
      <c r="H351" s="1077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1:256" ht="13.5" thickBot="1">
      <c r="A352" s="180">
        <f>A350+1</f>
        <v>55</v>
      </c>
      <c r="B352" s="50" t="s">
        <v>286</v>
      </c>
      <c r="C352" s="50"/>
      <c r="D352" s="50"/>
      <c r="E352" s="50"/>
      <c r="F352" s="184">
        <v>1830</v>
      </c>
      <c r="G352" s="50"/>
      <c r="H352" s="50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1:256" ht="13.5" thickBot="1">
      <c r="A353" s="180">
        <f aca="true" t="shared" si="27" ref="A353:A360">A352+1</f>
        <v>56</v>
      </c>
      <c r="B353" s="50" t="s">
        <v>304</v>
      </c>
      <c r="C353" s="50"/>
      <c r="D353" s="50"/>
      <c r="E353" s="50"/>
      <c r="F353" s="184">
        <v>10880</v>
      </c>
      <c r="G353" s="50"/>
      <c r="H353" s="50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:256" ht="13.5" thickBot="1">
      <c r="A354" s="180">
        <f t="shared" si="27"/>
        <v>57</v>
      </c>
      <c r="B354" s="50" t="s">
        <v>287</v>
      </c>
      <c r="C354" s="50"/>
      <c r="D354" s="50"/>
      <c r="E354" s="50"/>
      <c r="F354" s="184">
        <v>4250</v>
      </c>
      <c r="G354" s="50"/>
      <c r="H354" s="50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1:256" ht="13.5" thickBot="1">
      <c r="A355" s="180">
        <f t="shared" si="27"/>
        <v>58</v>
      </c>
      <c r="B355" s="50" t="s">
        <v>508</v>
      </c>
      <c r="C355" s="50"/>
      <c r="D355" s="50"/>
      <c r="E355" s="50"/>
      <c r="F355" s="184">
        <v>1210</v>
      </c>
      <c r="G355" s="50"/>
      <c r="H355" s="50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1:256" ht="13.5" thickBot="1">
      <c r="A356" s="180">
        <f t="shared" si="27"/>
        <v>59</v>
      </c>
      <c r="B356" s="50" t="s">
        <v>882</v>
      </c>
      <c r="C356" s="50"/>
      <c r="D356" s="50"/>
      <c r="E356" s="50"/>
      <c r="F356" s="184">
        <v>730</v>
      </c>
      <c r="G356" s="50"/>
      <c r="H356" s="50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1:256" ht="13.5" thickBot="1">
      <c r="A357" s="180">
        <f t="shared" si="27"/>
        <v>60</v>
      </c>
      <c r="B357" s="50" t="s">
        <v>512</v>
      </c>
      <c r="C357" s="50"/>
      <c r="D357" s="50"/>
      <c r="E357" s="50"/>
      <c r="F357" s="184">
        <v>620</v>
      </c>
      <c r="G357" s="50"/>
      <c r="H357" s="50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1:19" ht="28.5" customHeight="1" thickBot="1">
      <c r="A358" s="180">
        <f t="shared" si="27"/>
        <v>61</v>
      </c>
      <c r="B358" s="50" t="s">
        <v>502</v>
      </c>
      <c r="C358" s="50"/>
      <c r="D358" s="50"/>
      <c r="E358" s="50"/>
      <c r="F358" s="184">
        <v>1100</v>
      </c>
      <c r="G358" s="50"/>
      <c r="H358" s="50"/>
      <c r="S358"/>
    </row>
    <row r="359" spans="1:19" s="4" customFormat="1" ht="24" customHeight="1" thickBot="1">
      <c r="A359" s="180">
        <f t="shared" si="27"/>
        <v>62</v>
      </c>
      <c r="B359" s="173" t="s">
        <v>233</v>
      </c>
      <c r="C359" s="169"/>
      <c r="D359" s="86"/>
      <c r="E359" s="54"/>
      <c r="F359" s="97">
        <v>4850</v>
      </c>
      <c r="G359" s="50"/>
      <c r="H359" s="94"/>
      <c r="S359"/>
    </row>
    <row r="360" spans="1:256" ht="13.5" thickBot="1">
      <c r="A360" s="180">
        <f t="shared" si="27"/>
        <v>63</v>
      </c>
      <c r="B360" s="173" t="s">
        <v>234</v>
      </c>
      <c r="C360" s="169"/>
      <c r="D360" s="86"/>
      <c r="E360" s="54"/>
      <c r="F360" s="97">
        <v>4100</v>
      </c>
      <c r="G360" s="50"/>
      <c r="H360" s="94"/>
      <c r="I360"/>
      <c r="J360"/>
      <c r="K360"/>
      <c r="L360"/>
      <c r="M360"/>
      <c r="N360"/>
      <c r="O360"/>
      <c r="P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1:256" ht="26.25" thickBot="1">
      <c r="A361" s="180">
        <f aca="true" t="shared" si="28" ref="A361:A374">A360+1</f>
        <v>64</v>
      </c>
      <c r="B361" s="50" t="s">
        <v>288</v>
      </c>
      <c r="C361" s="50"/>
      <c r="D361" s="50"/>
      <c r="E361" s="50"/>
      <c r="F361" s="184">
        <v>160</v>
      </c>
      <c r="G361" s="50"/>
      <c r="H361" s="50"/>
      <c r="I361"/>
      <c r="J361"/>
      <c r="K361"/>
      <c r="L361"/>
      <c r="M361"/>
      <c r="N361"/>
      <c r="O361"/>
      <c r="P361"/>
      <c r="R361"/>
      <c r="S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256" ht="13.5" thickBot="1">
      <c r="A362" s="180">
        <f t="shared" si="28"/>
        <v>65</v>
      </c>
      <c r="B362" s="50" t="s">
        <v>503</v>
      </c>
      <c r="C362" s="50"/>
      <c r="D362" s="50"/>
      <c r="E362" s="50"/>
      <c r="F362" s="184">
        <v>1660</v>
      </c>
      <c r="G362" s="50"/>
      <c r="H362" s="50"/>
      <c r="I362"/>
      <c r="J362"/>
      <c r="K362"/>
      <c r="L362"/>
      <c r="M362"/>
      <c r="N362"/>
      <c r="O362"/>
      <c r="P362"/>
      <c r="R362"/>
      <c r="S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1:256" ht="13.5" thickBot="1">
      <c r="A363" s="180">
        <f t="shared" si="28"/>
        <v>66</v>
      </c>
      <c r="B363" s="50" t="s">
        <v>504</v>
      </c>
      <c r="C363" s="50"/>
      <c r="D363" s="50"/>
      <c r="E363" s="50"/>
      <c r="F363" s="184">
        <v>1660</v>
      </c>
      <c r="G363" s="50"/>
      <c r="H363" s="50"/>
      <c r="I363"/>
      <c r="J363"/>
      <c r="K363"/>
      <c r="L363"/>
      <c r="M363"/>
      <c r="N363"/>
      <c r="O363"/>
      <c r="P363"/>
      <c r="R363"/>
      <c r="S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1:256" ht="13.5" thickBot="1">
      <c r="A364" s="180">
        <f t="shared" si="28"/>
        <v>67</v>
      </c>
      <c r="B364" s="50" t="s">
        <v>505</v>
      </c>
      <c r="C364" s="50"/>
      <c r="D364" s="50"/>
      <c r="E364" s="50"/>
      <c r="F364" s="184">
        <v>1660</v>
      </c>
      <c r="G364" s="50"/>
      <c r="H364" s="50"/>
      <c r="I364"/>
      <c r="J364"/>
      <c r="K364"/>
      <c r="L364"/>
      <c r="M364"/>
      <c r="N364"/>
      <c r="O364"/>
      <c r="P364"/>
      <c r="R364"/>
      <c r="S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256" ht="13.5" thickBot="1">
      <c r="A365" s="180">
        <f t="shared" si="28"/>
        <v>68</v>
      </c>
      <c r="B365" s="50" t="s">
        <v>506</v>
      </c>
      <c r="C365" s="50"/>
      <c r="D365" s="50"/>
      <c r="E365" s="50"/>
      <c r="F365" s="184">
        <v>1660</v>
      </c>
      <c r="G365" s="50"/>
      <c r="H365" s="50"/>
      <c r="I365"/>
      <c r="J365"/>
      <c r="K365"/>
      <c r="L365"/>
      <c r="M365"/>
      <c r="N365"/>
      <c r="O365"/>
      <c r="P365"/>
      <c r="R365"/>
      <c r="S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1:256" ht="13.5" thickBot="1">
      <c r="A366" s="180">
        <f t="shared" si="28"/>
        <v>69</v>
      </c>
      <c r="B366" s="50" t="s">
        <v>507</v>
      </c>
      <c r="C366" s="50"/>
      <c r="D366" s="50"/>
      <c r="E366" s="50"/>
      <c r="F366" s="184">
        <v>2870</v>
      </c>
      <c r="G366" s="50"/>
      <c r="H366" s="50"/>
      <c r="I366"/>
      <c r="J366"/>
      <c r="K366"/>
      <c r="L366"/>
      <c r="M366"/>
      <c r="N366"/>
      <c r="O366"/>
      <c r="P366"/>
      <c r="Q366"/>
      <c r="R366"/>
      <c r="S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1:256" ht="13.5" thickBot="1">
      <c r="A367" s="180">
        <f>A366+1</f>
        <v>70</v>
      </c>
      <c r="B367" s="50" t="s">
        <v>889</v>
      </c>
      <c r="C367" s="50"/>
      <c r="D367" s="50"/>
      <c r="E367" s="50"/>
      <c r="F367" s="184">
        <v>1820</v>
      </c>
      <c r="G367" s="50"/>
      <c r="H367" s="50"/>
      <c r="I367"/>
      <c r="J367"/>
      <c r="K367"/>
      <c r="L367"/>
      <c r="M367"/>
      <c r="N367"/>
      <c r="O367"/>
      <c r="P367"/>
      <c r="Q367"/>
      <c r="R367"/>
      <c r="S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1:256" ht="26.25" thickBot="1">
      <c r="A368" s="180">
        <f>A366+1</f>
        <v>70</v>
      </c>
      <c r="B368" s="50" t="s">
        <v>289</v>
      </c>
      <c r="C368" s="50"/>
      <c r="D368" s="50"/>
      <c r="E368" s="50"/>
      <c r="F368" s="184" t="s">
        <v>883</v>
      </c>
      <c r="G368" s="50"/>
      <c r="H368" s="50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1:256" ht="39" thickBot="1">
      <c r="A369" s="180">
        <f t="shared" si="28"/>
        <v>71</v>
      </c>
      <c r="B369" s="50" t="s">
        <v>290</v>
      </c>
      <c r="C369" s="50"/>
      <c r="D369" s="50"/>
      <c r="E369" s="50"/>
      <c r="F369" s="184" t="s">
        <v>884</v>
      </c>
      <c r="G369" s="50"/>
      <c r="H369" s="50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:256" ht="13.5" thickBot="1">
      <c r="A370" s="180">
        <f t="shared" si="28"/>
        <v>72</v>
      </c>
      <c r="B370" s="50" t="s">
        <v>888</v>
      </c>
      <c r="C370" s="50"/>
      <c r="D370" s="50"/>
      <c r="E370" s="50"/>
      <c r="F370" s="184">
        <v>660</v>
      </c>
      <c r="G370" s="50"/>
      <c r="H370" s="5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1:256" ht="13.5" thickBot="1">
      <c r="A371" s="180">
        <f t="shared" si="28"/>
        <v>73</v>
      </c>
      <c r="B371" s="50" t="s">
        <v>887</v>
      </c>
      <c r="C371" s="50"/>
      <c r="D371" s="50"/>
      <c r="E371" s="50"/>
      <c r="F371" s="184">
        <v>660</v>
      </c>
      <c r="G371" s="50"/>
      <c r="H371" s="50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1:256" ht="13.5" thickBot="1">
      <c r="A372" s="180">
        <f t="shared" si="28"/>
        <v>74</v>
      </c>
      <c r="B372" s="50" t="s">
        <v>886</v>
      </c>
      <c r="C372" s="50"/>
      <c r="D372" s="50"/>
      <c r="E372" s="50"/>
      <c r="F372" s="184">
        <v>660</v>
      </c>
      <c r="G372" s="50"/>
      <c r="H372" s="50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1:256" ht="13.5" thickBot="1">
      <c r="A373" s="180">
        <f t="shared" si="28"/>
        <v>75</v>
      </c>
      <c r="B373" s="50" t="s">
        <v>885</v>
      </c>
      <c r="C373" s="50"/>
      <c r="D373" s="50"/>
      <c r="E373" s="50"/>
      <c r="F373" s="184">
        <v>900</v>
      </c>
      <c r="G373" s="50"/>
      <c r="H373" s="50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</row>
    <row r="374" spans="1:256" ht="26.25" thickBot="1">
      <c r="A374" s="180">
        <f t="shared" si="28"/>
        <v>76</v>
      </c>
      <c r="B374" s="50" t="s">
        <v>489</v>
      </c>
      <c r="C374" s="50"/>
      <c r="D374" s="50"/>
      <c r="E374" s="50"/>
      <c r="F374" s="184">
        <v>860</v>
      </c>
      <c r="G374" s="50"/>
      <c r="H374" s="50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spans="1:256" ht="26.25" thickBot="1">
      <c r="A375" s="180" t="e">
        <f>#REF!+1</f>
        <v>#REF!</v>
      </c>
      <c r="B375" s="50" t="s">
        <v>927</v>
      </c>
      <c r="C375" s="50"/>
      <c r="D375" s="50"/>
      <c r="E375" s="50"/>
      <c r="F375" s="184">
        <v>910</v>
      </c>
      <c r="G375" s="50"/>
      <c r="H375" s="50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</row>
    <row r="376" spans="7:254" ht="12.75"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</row>
    <row r="377" spans="1:19" ht="15.75">
      <c r="A377" s="170"/>
      <c r="S377"/>
    </row>
    <row r="378" ht="15.75">
      <c r="A378" s="77"/>
    </row>
    <row r="379" spans="1:3" ht="18.75">
      <c r="A379" s="187" t="s">
        <v>291</v>
      </c>
      <c r="B379" s="188"/>
      <c r="C379" s="188"/>
    </row>
    <row r="380" spans="1:3" ht="18">
      <c r="A380" s="188" t="s">
        <v>292</v>
      </c>
      <c r="B380" s="188"/>
      <c r="C380" s="188"/>
    </row>
    <row r="381" spans="1:3" ht="18">
      <c r="A381" s="188" t="s">
        <v>293</v>
      </c>
      <c r="B381" s="188"/>
      <c r="C381" s="188"/>
    </row>
    <row r="382" spans="1:3" ht="18">
      <c r="A382" s="188" t="s">
        <v>871</v>
      </c>
      <c r="B382" s="188"/>
      <c r="C382" s="188"/>
    </row>
    <row r="383" spans="1:6" ht="18">
      <c r="A383" s="1078" t="s">
        <v>294</v>
      </c>
      <c r="B383" s="1078"/>
      <c r="C383" s="1078" t="s">
        <v>295</v>
      </c>
      <c r="D383" s="1078"/>
      <c r="E383" s="1078"/>
      <c r="F383" s="537"/>
    </row>
  </sheetData>
  <sheetProtection formatCells="0" formatRows="0"/>
  <mergeCells count="95">
    <mergeCell ref="D312:E312"/>
    <mergeCell ref="C287:E287"/>
    <mergeCell ref="C288:E288"/>
    <mergeCell ref="C289:E289"/>
    <mergeCell ref="C290:E290"/>
    <mergeCell ref="C291:E291"/>
    <mergeCell ref="C292:E292"/>
    <mergeCell ref="A294:D294"/>
    <mergeCell ref="E294:H294"/>
    <mergeCell ref="B295:B296"/>
    <mergeCell ref="F285:H285"/>
    <mergeCell ref="C285:E286"/>
    <mergeCell ref="A351:H351"/>
    <mergeCell ref="A383:B383"/>
    <mergeCell ref="C383:E383"/>
    <mergeCell ref="A308:D308"/>
    <mergeCell ref="F308:H308"/>
    <mergeCell ref="A342:H342"/>
    <mergeCell ref="D309:E309"/>
    <mergeCell ref="D310:E310"/>
    <mergeCell ref="D276:D277"/>
    <mergeCell ref="E276:E277"/>
    <mergeCell ref="F276:H276"/>
    <mergeCell ref="C295:C296"/>
    <mergeCell ref="D295:D296"/>
    <mergeCell ref="E295:E296"/>
    <mergeCell ref="F295:H295"/>
    <mergeCell ref="A284:D284"/>
    <mergeCell ref="E284:H284"/>
    <mergeCell ref="B285:B286"/>
    <mergeCell ref="B270:B271"/>
    <mergeCell ref="C270:C271"/>
    <mergeCell ref="D270:D271"/>
    <mergeCell ref="E270:E271"/>
    <mergeCell ref="F270:H270"/>
    <mergeCell ref="D311:E311"/>
    <mergeCell ref="A275:D275"/>
    <mergeCell ref="E275:H275"/>
    <mergeCell ref="B276:B277"/>
    <mergeCell ref="C276:C277"/>
    <mergeCell ref="B187:B188"/>
    <mergeCell ref="C187:C188"/>
    <mergeCell ref="D187:D188"/>
    <mergeCell ref="E187:E188"/>
    <mergeCell ref="F187:H187"/>
    <mergeCell ref="A269:D269"/>
    <mergeCell ref="E269:H269"/>
    <mergeCell ref="B134:B135"/>
    <mergeCell ref="C134:C135"/>
    <mergeCell ref="D134:D135"/>
    <mergeCell ref="E134:E135"/>
    <mergeCell ref="F134:H134"/>
    <mergeCell ref="A186:D186"/>
    <mergeCell ref="E186:H186"/>
    <mergeCell ref="B106:B107"/>
    <mergeCell ref="C106:C107"/>
    <mergeCell ref="D106:D107"/>
    <mergeCell ref="E106:E107"/>
    <mergeCell ref="F106:H106"/>
    <mergeCell ref="A133:D133"/>
    <mergeCell ref="F133:H133"/>
    <mergeCell ref="B89:B90"/>
    <mergeCell ref="C89:C90"/>
    <mergeCell ref="D89:D90"/>
    <mergeCell ref="E89:E90"/>
    <mergeCell ref="F89:H89"/>
    <mergeCell ref="A105:D105"/>
    <mergeCell ref="F105:H105"/>
    <mergeCell ref="B73:B74"/>
    <mergeCell ref="C73:C74"/>
    <mergeCell ref="D73:D74"/>
    <mergeCell ref="E73:E74"/>
    <mergeCell ref="F73:H73"/>
    <mergeCell ref="A88:D88"/>
    <mergeCell ref="F88:H88"/>
    <mergeCell ref="D318:E318"/>
    <mergeCell ref="A2:D2"/>
    <mergeCell ref="F2:H2"/>
    <mergeCell ref="B3:B4"/>
    <mergeCell ref="C3:C4"/>
    <mergeCell ref="D3:D4"/>
    <mergeCell ref="E3:E4"/>
    <mergeCell ref="F3:H3"/>
    <mergeCell ref="A72:D72"/>
    <mergeCell ref="F72:H72"/>
    <mergeCell ref="D325:H325"/>
    <mergeCell ref="A325:C325"/>
    <mergeCell ref="D319:E319"/>
    <mergeCell ref="D320:E320"/>
    <mergeCell ref="D321:E321"/>
    <mergeCell ref="D313:E313"/>
    <mergeCell ref="D314:E314"/>
    <mergeCell ref="D315:E315"/>
    <mergeCell ref="D316:E316"/>
    <mergeCell ref="D317:E317"/>
  </mergeCells>
  <hyperlinks>
    <hyperlink ref="B18" location="'расчет перен'!A1" display="нажать для расчета цены модификаций       ОКА-92М, ОКА-92Т, ОКА-92МТ"/>
    <hyperlink ref="B29" location="'расчет перен'!A1" display="нажать для расчета цены модификаций ОКА-Т, ОКА-МТ"/>
    <hyperlink ref="B39" location="'расчет перен'!A1" display="нажать для расчета цены модификаций ОКА-Т, ОКА-МТ"/>
    <hyperlink ref="B47" location="'расчет перен'!A1" display="нажать для расчета цены модификаций ОКА-Т, ОКА-МТ"/>
    <hyperlink ref="B54" location="'расчет перен'!A1" display="нажать для расчета цены модификаций ОКА-Т, ОКА-МТ"/>
    <hyperlink ref="B60" location="'расчет перен'!A1" display="нажать для расчета цены модификаций ОКА-Т, ОКА-МТ"/>
    <hyperlink ref="B64" location="'расчет перен'!A1" display="нажать для расчета цены модификаций ОКА-Т, ОКА-МТ"/>
    <hyperlink ref="B68" location="'расчет перен'!A1" display="нажать для расчета цены модификаций ОКА-М"/>
    <hyperlink ref="B69" location="'перен_ Хоб__Т'!A1" display="нажать для расчета цены взр/защ. сигнализаторов ОКА-М, записать цифру 1 в голубую ячейку и указать требуемый газ цифрой 1"/>
    <hyperlink ref="B102" location="'расчет перен'!A1" display="Нажать для расчета цены многоканальных переносных г/а &quot;Хоббит-Т&quot;"/>
    <hyperlink ref="B113" location="'расчет перен'!A1" display="нажать для расчета цены взр/защ. модификаций переносных г/а &quot;Хоббит-Т&quot;, записать цифру 1 в голубую ячейку и указать требуемый газ цифрой 1"/>
    <hyperlink ref="B119" location="'расчет перен'!A1" display="нажать для расчета цены взр/защ. модификаций переносных г/а &quot;Хоббит-Т&quot;, записать цифру 1 в голубую ячейку и указать требуемый газ цифрой 1"/>
    <hyperlink ref="B125" location="'расчет перен'!A1" display="нажать для расчета цены взр/защ. модификаций переносных г/а &quot;Хоббит-Т&quot;, записать цифру 1 в голубую ячейку и указать требуемый газ цифрой 1"/>
    <hyperlink ref="B148" location="'расчет стац'!A1" display="нажать для расчета цены многоканального однокомпонентного г/а"/>
    <hyperlink ref="B149" location="'расчет стац'!A1" display="нажать для расчета цены многокомпонентного г/а"/>
    <hyperlink ref="B156" location="'расчет стац'!A1" display="нажать для расчета цены многоканального однокомпонентного г/а"/>
    <hyperlink ref="B157" location="'расчет стац'!A1" display="нажать для расчета цены многокомпонентного г/а"/>
    <hyperlink ref="B164" location="'расчет стац'!A1" display="нажать для расчета цены многоканального однокомпонентного г/а"/>
    <hyperlink ref="B165" location="'расчет стац'!A1" display="нажать для расчета цены многокомпонентного г/а"/>
    <hyperlink ref="B171" location="'расчет стац'!A1" display="нажать для расчета цены многоканального двухкомпонентного г/а"/>
    <hyperlink ref="B172" location="'расчет стац'!A1" display="нажать для расчета цены многокомпонентного г/а"/>
    <hyperlink ref="B178" location="'расчет стац'!A1" display="нажать для расчета цены многоканального двухкомпонентного г/а"/>
    <hyperlink ref="B179" location="'расчет стац'!A1" display="нажать для расчета цены многокомпонентного г/а"/>
    <hyperlink ref="B199" location="'расчет стац'!A1" display="нажать для расчета цены многоканального однокомпонентного г/а"/>
    <hyperlink ref="B200" location="'расчет стац'!A1" display="нажать для расчета цены многокомпонентного г/а"/>
    <hyperlink ref="B205" location="'расчет стац'!A1" display="нажать для расчета цены многоканального однокомпонентного г/а"/>
    <hyperlink ref="B206" location="'расчет стац'!A1" display="нажать для расчета цены многокомпонентного г/а"/>
    <hyperlink ref="B211" location="'расчет стац'!A1" display="нажать для расчета цены многоканального однокомпонентного г/а"/>
    <hyperlink ref="B212" location="'расчет стац'!A1" display="нажать для расчета цены многокомпонентного г/а"/>
    <hyperlink ref="B217" location="'расчет стац'!A1" display="нажать для расчета цены многоканального однокомпонентного г/а"/>
    <hyperlink ref="B218" location="'расчет стац'!A1" display="нажать для расчета цены многокомпонентного г/а"/>
    <hyperlink ref="B223" location="'расчет стац_1'!A1" display="нажать для расчета цены многоканального однокомпонентного г/а"/>
    <hyperlink ref="B224" location="ПРАЙС!A1" display="нажать для расчета цены многокомпонентного г/а"/>
    <hyperlink ref="B229" location="'расчет стац'!A1" display="нажать для расчета цены многоканального однокомпонентного г/а"/>
    <hyperlink ref="B230" location="'расчет стац'!A1" display="нажать для расчета цены многокомпонентного г/а"/>
    <hyperlink ref="B235" location="'расчет стац'!A1" display="нажать для расчета цены многоканального однокомпонентного г/а"/>
    <hyperlink ref="B236" location="'расчет стац'!A1" display="нажать для расчета цены многокомпонентного г/а"/>
    <hyperlink ref="B241" location="'расчет стац'!A1" display="нажать для расчета цены многоканального однокомпонентного г/а"/>
    <hyperlink ref="B242" location="'расчет стац'!A1" display="нажать для расчета цены многокомпонентного г/а"/>
    <hyperlink ref="B247" location="'расчет стац'!A1" display="нажать для расчета цены многоканального однокомпонентного г/а"/>
    <hyperlink ref="B248" location="'расчет стац'!A1" display="нажать для расчета цены многокомпонентного г/а"/>
    <hyperlink ref="B253" location="'расчет стац'!A1" display="нажать для расчета цены многоканального однокомпонентного г/а"/>
    <hyperlink ref="B254" location="'расчет стац'!A1" display="расчет цены многоканальн. многокомпонентного г/а"/>
    <hyperlink ref="B256" location="'расчет стац'!A1" display="Газоанализатор ОКА-Т-HF"/>
    <hyperlink ref="B260" location="'расчет стац'!A1" display="Газоанализатор Хоббит-Т-HF"/>
    <hyperlink ref="B272" location="'расчет стац'!A1" display="нажать для расчета цены взр/защ. г/а &quot;Хоббит-Т&quot; с индикацией и выносным датчиком, записать цифру 1 в голубую ячейку и указать требуемые газы числом каналов"/>
    <hyperlink ref="A383" r:id="rId1" display="E-mail: mail@infogas.ru"/>
    <hyperlink ref="C383" r:id="rId2" display="http://www.infogas.ru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B39" sqref="B39"/>
    </sheetView>
  </sheetViews>
  <sheetFormatPr defaultColWidth="11.375" defaultRowHeight="35.25" customHeight="1"/>
  <cols>
    <col min="1" max="1" width="31.875" style="1" customWidth="1"/>
    <col min="2" max="11" width="11.125" style="1" customWidth="1"/>
    <col min="12" max="16384" width="11.375" style="1" customWidth="1"/>
  </cols>
  <sheetData>
    <row r="1" spans="2:6" ht="35.25" customHeight="1">
      <c r="B1" s="296" t="s">
        <v>396</v>
      </c>
      <c r="C1" s="297"/>
      <c r="D1" s="297"/>
      <c r="E1" s="373"/>
      <c r="F1" s="373"/>
    </row>
    <row r="2" spans="1:9" ht="35.25" customHeight="1">
      <c r="A2" s="374"/>
      <c r="B2" s="375" t="s">
        <v>397</v>
      </c>
      <c r="C2" s="376"/>
      <c r="D2" s="275" t="s">
        <v>362</v>
      </c>
      <c r="E2" s="275" t="s">
        <v>398</v>
      </c>
      <c r="F2" s="368" t="s">
        <v>399</v>
      </c>
      <c r="G2" s="377" t="s">
        <v>400</v>
      </c>
      <c r="H2" s="368" t="s">
        <v>401</v>
      </c>
      <c r="I2" s="368" t="s">
        <v>401</v>
      </c>
    </row>
    <row r="3" spans="1:9" ht="35.25" customHeight="1">
      <c r="A3" s="378" t="s">
        <v>312</v>
      </c>
      <c r="B3" s="379" t="s">
        <v>402</v>
      </c>
      <c r="C3" s="380" t="s">
        <v>403</v>
      </c>
      <c r="D3" s="381" t="s">
        <v>365</v>
      </c>
      <c r="E3" s="382" t="s">
        <v>404</v>
      </c>
      <c r="F3" s="370" t="s">
        <v>405</v>
      </c>
      <c r="G3" s="383" t="s">
        <v>406</v>
      </c>
      <c r="H3" s="370" t="s">
        <v>405</v>
      </c>
      <c r="I3" s="370" t="s">
        <v>406</v>
      </c>
    </row>
    <row r="4" spans="1:9" ht="35.25" customHeight="1">
      <c r="A4" s="384" t="str">
        <f aca="true" t="shared" si="0" ref="A4:A26">A30</f>
        <v>C3H8</v>
      </c>
      <c r="B4" s="385">
        <f>ROUND(B30*ПГ!$F$2,-1)</f>
        <v>8060</v>
      </c>
      <c r="C4" s="386">
        <f>ROUND(C30*ПГ!$F$2,-1)</f>
        <v>4580</v>
      </c>
      <c r="E4" s="253">
        <f>VLOOKUP(A4,СГИ!$A$8:$G$27,7,TRUE)</f>
        <v>2</v>
      </c>
      <c r="F4" s="368">
        <f>ROUND(F30*ПГ!$F$2,-1)</f>
        <v>9040</v>
      </c>
      <c r="G4" s="387"/>
      <c r="H4" s="388">
        <f>ROUND(H30*ПГ!$F$2,-1)</f>
        <v>6550</v>
      </c>
      <c r="I4" s="368">
        <f>ROUND(I30*ПГ!$F$2,-1)</f>
        <v>3690</v>
      </c>
    </row>
    <row r="5" spans="1:9" ht="35.25" customHeight="1">
      <c r="A5" s="389" t="str">
        <f t="shared" si="0"/>
        <v>C6H14</v>
      </c>
      <c r="B5" s="390">
        <f>ROUND(B31*ПГ!$F$2,-1)</f>
        <v>8060</v>
      </c>
      <c r="C5" s="391">
        <f>ROUND(C31*ПГ!$F$2,-1)</f>
        <v>4580</v>
      </c>
      <c r="E5" s="392">
        <f>VLOOKUP(A5,СГИ!$A$8:$G$27,7,TRUE)</f>
        <v>2</v>
      </c>
      <c r="F5" s="393">
        <f>ROUND(F31*ПГ!$F$2,-1)</f>
        <v>9040</v>
      </c>
      <c r="G5" s="387"/>
      <c r="H5" s="394">
        <f>ROUND(H31*ПГ!$F$2,-1)</f>
        <v>6550</v>
      </c>
      <c r="I5" s="393">
        <f>ROUND(I31*ПГ!$F$2,-1)</f>
        <v>3690</v>
      </c>
    </row>
    <row r="6" spans="1:9" ht="35.25" customHeight="1">
      <c r="A6" s="389" t="s">
        <v>282</v>
      </c>
      <c r="B6" s="390">
        <f>ROUND(B32*ПГ!$F$2,-1)</f>
        <v>6550</v>
      </c>
      <c r="C6" s="391">
        <f>ROUND(C32*ПГ!$F$2,-1)</f>
        <v>4580</v>
      </c>
      <c r="E6" s="392">
        <f>VLOOKUP(A6,СГИ!$A$8:$G$27,7,TRUE)</f>
        <v>2</v>
      </c>
      <c r="F6" s="393">
        <f>ROUND(F32*ПГ!$F$2,-1)</f>
        <v>7570</v>
      </c>
      <c r="G6" s="387"/>
      <c r="H6" s="394">
        <f>ROUND(H32*ПГ!$F$2,-1)</f>
        <v>6550</v>
      </c>
      <c r="I6" s="393">
        <f>ROUND(I32*ПГ!$F$2,-1)</f>
        <v>3690</v>
      </c>
    </row>
    <row r="7" spans="1:9" ht="35.25" customHeight="1">
      <c r="A7" s="389" t="str">
        <f t="shared" si="0"/>
        <v>CHopt</v>
      </c>
      <c r="B7" s="390">
        <f>ROUND(B33*ПГ!$F$2,-1)</f>
        <v>13900</v>
      </c>
      <c r="C7" s="391">
        <f>ROUND(C33*ПГ!$F$2,-1)</f>
        <v>4580</v>
      </c>
      <c r="E7" s="392">
        <f>VLOOKUP(A7,СГИ!$A$8:$G$27,7,TRUE)</f>
        <v>2</v>
      </c>
      <c r="F7" s="387" t="s">
        <v>407</v>
      </c>
      <c r="G7" s="387"/>
      <c r="H7" s="395"/>
      <c r="I7" s="395"/>
    </row>
    <row r="8" spans="1:7" ht="35.25" customHeight="1">
      <c r="A8" s="389" t="str">
        <f t="shared" si="0"/>
        <v>Cl2</v>
      </c>
      <c r="B8" s="390">
        <f>ROUND(B34*ПГ!$F$2,-1)</f>
        <v>8410</v>
      </c>
      <c r="C8" s="391">
        <f>ROUND(C34*ПГ!$F$2,-1)</f>
        <v>9620</v>
      </c>
      <c r="E8" s="392">
        <f>VLOOKUP(A8,СГИ!$A$8:$G$27,7,TRUE)</f>
        <v>2</v>
      </c>
      <c r="F8" s="393">
        <f>ROUND(F34*ПГ!$F$2,-1)</f>
        <v>10990</v>
      </c>
      <c r="G8" s="393">
        <f>ROUND(G34*ПГ!$F$2,-1)</f>
        <v>0</v>
      </c>
    </row>
    <row r="9" spans="1:7" ht="35.25" customHeight="1">
      <c r="A9" s="389" t="str">
        <f t="shared" si="0"/>
        <v>CO</v>
      </c>
      <c r="B9" s="390">
        <f>ROUND(B35*ПГ!$F$2,-1)</f>
        <v>8690</v>
      </c>
      <c r="C9" s="391">
        <f>ROUND(C35*ПГ!$F$2,-1)</f>
        <v>4580</v>
      </c>
      <c r="E9" s="392">
        <f>VLOOKUP(A9,СГИ!$A$8:$G$27,7,TRUE)</f>
        <v>2</v>
      </c>
      <c r="F9" s="393">
        <f>ROUND(F35*ПГ!$F$2,-1)</f>
        <v>8690</v>
      </c>
      <c r="G9" s="393">
        <f>ROUND(G35*ПГ!$F$2,-1)</f>
        <v>0</v>
      </c>
    </row>
    <row r="10" spans="1:9" ht="35.25" customHeight="1">
      <c r="A10" s="389" t="str">
        <f t="shared" si="0"/>
        <v>CO как горючий</v>
      </c>
      <c r="B10" s="390">
        <f>ROUND(B36*ПГ!$F$2,-1)</f>
        <v>8060</v>
      </c>
      <c r="C10" s="391">
        <f>ROUND(C36*ПГ!$F$2,-1)</f>
        <v>4580</v>
      </c>
      <c r="E10" s="392">
        <f>VLOOKUP(A10,СГИ!$A$8:$G$27,7,TRUE)</f>
        <v>0</v>
      </c>
      <c r="F10" s="393">
        <f>ROUND(F36*ПГ!$F$2,-1)</f>
        <v>9040</v>
      </c>
      <c r="G10" s="393">
        <f>ROUND(G36*ПГ!$F$2,-1)</f>
        <v>0</v>
      </c>
      <c r="H10" s="394">
        <f>ROUND(H36*ПГ!$F$2,-1)</f>
        <v>6550</v>
      </c>
      <c r="I10" s="393">
        <f>ROUND(I36*ПГ!$F$2,-1)</f>
        <v>3690</v>
      </c>
    </row>
    <row r="11" spans="1:7" ht="35.25" customHeight="1">
      <c r="A11" s="396" t="str">
        <f t="shared" si="0"/>
        <v>CO+CH4</v>
      </c>
      <c r="B11" s="397">
        <f>B6+B9</f>
        <v>15240</v>
      </c>
      <c r="C11" s="398">
        <f>ROUND(C37*ПГ!$F$2,-1)</f>
        <v>6540</v>
      </c>
      <c r="E11" s="399" t="s">
        <v>408</v>
      </c>
      <c r="F11" s="400">
        <f>ROUND((F37+470)*ПГ!$F$2,-1)</f>
        <v>17190</v>
      </c>
      <c r="G11" s="387"/>
    </row>
    <row r="12" spans="1:8" ht="35.25" customHeight="1">
      <c r="A12" s="396" t="str">
        <f t="shared" si="0"/>
        <v>CO+гор.газ</v>
      </c>
      <c r="B12" s="401">
        <f>B9+MAX(B4,B5,B10,B15)</f>
        <v>16750</v>
      </c>
      <c r="C12" s="398">
        <f>ROUND(C38*ПГ!$F$2,-1)</f>
        <v>6540</v>
      </c>
      <c r="E12" s="399" t="s">
        <v>408</v>
      </c>
      <c r="F12" s="402">
        <f>ROUND((F38+470)*ПГ!$F$2,-1)</f>
        <v>18680</v>
      </c>
      <c r="G12" s="387"/>
      <c r="H12" s="395"/>
    </row>
    <row r="13" spans="1:7" ht="35.25" customHeight="1">
      <c r="A13" s="389" t="str">
        <f t="shared" si="0"/>
        <v>CO2</v>
      </c>
      <c r="B13" s="390">
        <f>ROUND(B39*ПГ!$F$2,-1)</f>
        <v>18880</v>
      </c>
      <c r="C13" s="391">
        <f>ROUND(C39*ПГ!$F$2,-1)</f>
        <v>9490</v>
      </c>
      <c r="E13" s="392">
        <f>VLOOKUP(A13,СГИ!$A$8:$G$27,7,TRUE)</f>
        <v>1</v>
      </c>
      <c r="F13" s="393">
        <f>ROUND(F39*ПГ!$F$2,-1)</f>
        <v>24540</v>
      </c>
      <c r="G13" s="393">
        <f>ROUND(G39*ПГ!$F$2,-1)</f>
        <v>0</v>
      </c>
    </row>
    <row r="14" spans="1:16" s="197" customFormat="1" ht="35.25" customHeight="1">
      <c r="A14" s="389" t="str">
        <f t="shared" si="0"/>
        <v>F2</v>
      </c>
      <c r="B14" s="390">
        <f>ROUND(B40*ПГ!$F$2,-1)</f>
        <v>21070</v>
      </c>
      <c r="C14" s="391">
        <f>ROUND(C40*ПГ!$F$2,-1)</f>
        <v>9960</v>
      </c>
      <c r="D14" s="1"/>
      <c r="E14" s="392">
        <f>VLOOKUP(A14,СГИ!$A$8:$G$27,7,TRUE)</f>
        <v>2</v>
      </c>
      <c r="F14" s="393">
        <f>ROUND(F40*ПГ!$F$2,-1)</f>
        <v>28070</v>
      </c>
      <c r="G14" s="393">
        <f>ROUND(G40*ПГ!$F$2,-1)</f>
        <v>0</v>
      </c>
      <c r="H14" s="1"/>
      <c r="I14" s="1"/>
      <c r="M14" s="1"/>
      <c r="N14" s="1"/>
      <c r="O14" s="1"/>
      <c r="P14" s="1"/>
    </row>
    <row r="15" spans="1:16" s="197" customFormat="1" ht="35.25" customHeight="1">
      <c r="A15" s="389" t="str">
        <f t="shared" si="0"/>
        <v>H2</v>
      </c>
      <c r="B15" s="390">
        <f>ROUND(B41*ПГ!$F$2,-1)</f>
        <v>8060</v>
      </c>
      <c r="C15" s="391">
        <f>ROUND(C41*ПГ!$F$2,-1)</f>
        <v>4580</v>
      </c>
      <c r="D15" s="1"/>
      <c r="E15" s="392">
        <f>VLOOKUP(A15,СГИ!$A$8:$G$27,7,TRUE)</f>
        <v>2</v>
      </c>
      <c r="F15" s="393">
        <f>ROUND(F41*ПГ!$F$2,-1)</f>
        <v>9040</v>
      </c>
      <c r="G15" s="393">
        <f>ROUND(G41*ПГ!$F$2,-1)</f>
        <v>0</v>
      </c>
      <c r="H15" s="394">
        <f>ROUND(H41*ПГ!$F$2,-1)</f>
        <v>6550</v>
      </c>
      <c r="I15" s="393">
        <f>ROUND(I41*ПГ!$F$2,-1)</f>
        <v>3690</v>
      </c>
      <c r="M15" s="1"/>
      <c r="N15" s="1"/>
      <c r="O15" s="1"/>
      <c r="P15" s="1"/>
    </row>
    <row r="16" spans="1:8" ht="35.25" customHeight="1">
      <c r="A16" s="389" t="str">
        <f t="shared" si="0"/>
        <v>H2S</v>
      </c>
      <c r="B16" s="390">
        <f>ROUND(B42*ПГ!$F$2,-1)</f>
        <v>8900</v>
      </c>
      <c r="C16" s="391">
        <f>ROUND(C42*ПГ!$F$2,-1)</f>
        <v>9620</v>
      </c>
      <c r="E16" s="403">
        <f>VLOOKUP(A16,СГИ!$A$8:$G$27,7,TRUE)</f>
        <v>1</v>
      </c>
      <c r="F16" s="393">
        <f>ROUND(F42*ПГ!$F$2,-1)</f>
        <v>11810</v>
      </c>
      <c r="G16" s="393">
        <f>ROUND(G42*ПГ!$F$2,-1)</f>
        <v>0</v>
      </c>
      <c r="H16" s="197"/>
    </row>
    <row r="17" spans="1:8" ht="35.25" customHeight="1">
      <c r="A17" s="389" t="str">
        <f t="shared" si="0"/>
        <v>HCl</v>
      </c>
      <c r="B17" s="390">
        <f>ROUND(B43*ПГ!$F$2,-1)</f>
        <v>19550</v>
      </c>
      <c r="C17" s="391">
        <f>ROUND(C43*ПГ!$F$2,-1)</f>
        <v>9960</v>
      </c>
      <c r="E17" s="403">
        <f>VLOOKUP(A17,СГИ!$A$8:$G$27,7,TRUE)</f>
        <v>1</v>
      </c>
      <c r="F17" s="404">
        <f>ROUND(F43*ПГ!$F$2,-1)</f>
        <v>21070</v>
      </c>
      <c r="G17" s="393">
        <f>ROUND(G43*ПГ!$F$2,-1)</f>
        <v>0</v>
      </c>
      <c r="H17" s="197"/>
    </row>
    <row r="18" spans="1:7" ht="35.25" customHeight="1">
      <c r="A18" s="389" t="str">
        <f t="shared" si="0"/>
        <v>HF</v>
      </c>
      <c r="B18" s="390">
        <f>ROUND(B44*ПГ!$F$2,-1)</f>
        <v>22720</v>
      </c>
      <c r="C18" s="391">
        <f>ROUND(C44*ПГ!$F$2,-1)</f>
        <v>9960</v>
      </c>
      <c r="E18" s="392">
        <f>VLOOKUP(A18,СГИ!$A$8:$G$27,7,TRUE)</f>
        <v>2</v>
      </c>
      <c r="F18" s="393">
        <f>ROUND(F44*ПГ!$F$2,-1)</f>
        <v>28070</v>
      </c>
      <c r="G18" s="393">
        <f>ROUND(G44*ПГ!$F$2,-1)</f>
        <v>0</v>
      </c>
    </row>
    <row r="19" spans="1:7" ht="35.25" customHeight="1">
      <c r="A19" s="389" t="str">
        <f t="shared" si="0"/>
        <v>NH3</v>
      </c>
      <c r="B19" s="390">
        <f>ROUND(B45*ПГ!$F$2,-1)</f>
        <v>9940</v>
      </c>
      <c r="C19" s="391">
        <f>ROUND(C45*ПГ!$F$2,-1)</f>
        <v>9620</v>
      </c>
      <c r="E19" s="392">
        <f>VLOOKUP(A19,СГИ!$A$8:$G$27,7,TRUE)</f>
        <v>3</v>
      </c>
      <c r="F19" s="393">
        <f>ROUND(F45*ПГ!$F$2,-1)</f>
        <v>13020</v>
      </c>
      <c r="G19" s="393">
        <f>ROUND(G45*ПГ!$F$2,-1)</f>
        <v>0</v>
      </c>
    </row>
    <row r="20" spans="1:7" ht="35.25" customHeight="1">
      <c r="A20" s="389" t="str">
        <f t="shared" si="0"/>
        <v>NO2</v>
      </c>
      <c r="B20" s="405">
        <f>ROUND(B46*ПГ!$F$2,-1)</f>
        <v>11980</v>
      </c>
      <c r="C20" s="391">
        <f>ROUND(C46*ПГ!$F$2,-1)</f>
        <v>9960</v>
      </c>
      <c r="E20" s="392">
        <f>VLOOKUP(A20,СГИ!$A$8:$G$27,7,TRUE)</f>
        <v>1</v>
      </c>
      <c r="F20" s="404">
        <f>ROUND(F46*ПГ!$F$2,-1)</f>
        <v>15150</v>
      </c>
      <c r="G20" s="393">
        <f>ROUND(G46*ПГ!$F$2,-1)</f>
        <v>0</v>
      </c>
    </row>
    <row r="21" spans="1:8" ht="35.25" customHeight="1">
      <c r="A21" s="389" t="str">
        <f t="shared" si="0"/>
        <v>O2</v>
      </c>
      <c r="B21" s="390">
        <f>ROUND(B47*ПГ!$F$2,-1)</f>
        <v>9210</v>
      </c>
      <c r="C21" s="391">
        <f>ROUND(C47*ПГ!$F$2,-1)</f>
        <v>9960</v>
      </c>
      <c r="E21" s="392">
        <f>VLOOKUP(A21,СГИ!$A$8:$G$27,7,TRUE)</f>
        <v>1</v>
      </c>
      <c r="F21" s="406">
        <f>ROUND(F47*ПГ!$F$2,-1)</f>
        <v>11420</v>
      </c>
      <c r="G21" s="393">
        <f>ROUND(G47*ПГ!$F$2,-1)</f>
        <v>0</v>
      </c>
      <c r="H21" s="407"/>
    </row>
    <row r="22" spans="1:7" ht="35.25" customHeight="1">
      <c r="A22" s="389" t="str">
        <f t="shared" si="0"/>
        <v>O3</v>
      </c>
      <c r="B22" s="390">
        <f>ROUND(B48*ПГ!$F$2,-1)</f>
        <v>9720</v>
      </c>
      <c r="C22" s="391">
        <f>ROUND(C48*ПГ!$F$2,-1)</f>
        <v>14750</v>
      </c>
      <c r="E22" s="392">
        <f>VLOOKUP(A22,СГИ!$A$8:$G$27,7,TRUE)</f>
        <v>1</v>
      </c>
      <c r="F22" s="393">
        <f>ROUND(F48*ПГ!$F$2,-1)</f>
        <v>16880</v>
      </c>
      <c r="G22" s="387" t="s">
        <v>407</v>
      </c>
    </row>
    <row r="23" spans="1:7" ht="35.25" customHeight="1">
      <c r="A23" s="396" t="str">
        <f t="shared" si="0"/>
        <v>SO2</v>
      </c>
      <c r="B23" s="397">
        <f>ROUND(B49*ПГ!$F$2,-1)</f>
        <v>9210</v>
      </c>
      <c r="C23" s="398">
        <f>ROUND(C49*ПГ!$F$2,-1)</f>
        <v>9960</v>
      </c>
      <c r="E23" s="399">
        <f>VLOOKUP(A23,СГИ!$A$8:$G$27,7,TRUE)</f>
        <v>1</v>
      </c>
      <c r="F23" s="400">
        <f>ROUND(F49*ПГ!$F$2,-1)</f>
        <v>12200</v>
      </c>
      <c r="G23" s="400">
        <f>ROUND(G49*ПГ!$F$2,-1)</f>
        <v>0</v>
      </c>
    </row>
    <row r="24" spans="1:7" ht="35.25" customHeight="1">
      <c r="A24" s="408" t="str">
        <f t="shared" si="0"/>
        <v>БР-10М, динрельс</v>
      </c>
      <c r="B24" s="409"/>
      <c r="C24" s="410">
        <f>ROUND(C50*ПГ!$F$2,-1)</f>
        <v>2150</v>
      </c>
      <c r="D24" s="411" t="str">
        <f>D50</f>
        <v>10 реле</v>
      </c>
      <c r="G24" s="197"/>
    </row>
    <row r="25" spans="1:9" ht="35.25" customHeight="1">
      <c r="A25" s="412" t="str">
        <f t="shared" si="0"/>
        <v>блок искрозащиты</v>
      </c>
      <c r="B25" s="196"/>
      <c r="C25" s="413">
        <f>ROUND(C51*ПГ!$F$2,-1)</f>
        <v>3900</v>
      </c>
      <c r="D25" s="414" t="str">
        <f>D51</f>
        <v>1 на канал</v>
      </c>
      <c r="F25" s="415" t="s">
        <v>409</v>
      </c>
      <c r="G25" s="416"/>
      <c r="H25" s="416"/>
      <c r="I25" s="417"/>
    </row>
    <row r="26" spans="1:9" s="197" customFormat="1" ht="35.25" customHeight="1">
      <c r="A26" s="418" t="str">
        <f t="shared" si="0"/>
        <v>блок БППН</v>
      </c>
      <c r="B26" s="419"/>
      <c r="C26" s="420">
        <f>ROUND(C52*ПГ!$F$2,-1)</f>
        <v>4620</v>
      </c>
      <c r="D26" s="421" t="str">
        <f>D52</f>
        <v>1 на 4 кан.</v>
      </c>
      <c r="E26" s="1"/>
      <c r="F26" s="422" t="s">
        <v>410</v>
      </c>
      <c r="G26" s="423"/>
      <c r="H26" s="423"/>
      <c r="I26" s="424"/>
    </row>
    <row r="27" spans="1:9" s="197" customFormat="1" ht="35.25" customHeight="1">
      <c r="A27" s="1"/>
      <c r="B27" s="1"/>
      <c r="C27" s="1"/>
      <c r="D27" s="1"/>
      <c r="F27" s="425" t="str">
        <f>CONCATENATE("цена на ",ПГ!$G$2)</f>
        <v>цена на 05.09.2018</v>
      </c>
      <c r="G27" s="426"/>
      <c r="H27" s="426"/>
      <c r="I27" s="427"/>
    </row>
    <row r="28" spans="1:9" s="197" customFormat="1" ht="35.25" customHeight="1">
      <c r="A28" s="428"/>
      <c r="B28" s="429" t="str">
        <f>CONCATENATE("цена на ",ПГ!$G$2)</f>
        <v>цена на 05.09.2018</v>
      </c>
      <c r="C28" s="374"/>
      <c r="D28" s="1"/>
      <c r="F28" s="368" t="s">
        <v>399</v>
      </c>
      <c r="G28" s="395" t="s">
        <v>400</v>
      </c>
      <c r="H28" s="369" t="s">
        <v>401</v>
      </c>
      <c r="I28" s="369" t="s">
        <v>401</v>
      </c>
    </row>
    <row r="29" spans="1:9" s="197" customFormat="1" ht="35.25" customHeight="1">
      <c r="A29" s="193" t="s">
        <v>312</v>
      </c>
      <c r="B29" s="430" t="s">
        <v>411</v>
      </c>
      <c r="C29" s="431" t="s">
        <v>403</v>
      </c>
      <c r="D29" s="1"/>
      <c r="F29" s="370" t="s">
        <v>405</v>
      </c>
      <c r="G29" s="426" t="s">
        <v>406</v>
      </c>
      <c r="H29" s="370" t="s">
        <v>405</v>
      </c>
      <c r="I29" s="370" t="s">
        <v>406</v>
      </c>
    </row>
    <row r="30" spans="1:9" s="197" customFormat="1" ht="35.25" customHeight="1">
      <c r="A30" s="352" t="s">
        <v>412</v>
      </c>
      <c r="B30" s="444">
        <v>8060</v>
      </c>
      <c r="C30" s="445">
        <v>4580</v>
      </c>
      <c r="D30" s="1" t="s">
        <v>499</v>
      </c>
      <c r="F30" s="449">
        <v>9040</v>
      </c>
      <c r="G30" s="432"/>
      <c r="H30" s="449">
        <v>6550</v>
      </c>
      <c r="I30" s="449">
        <v>3690</v>
      </c>
    </row>
    <row r="31" spans="1:9" s="197" customFormat="1" ht="35.25" customHeight="1">
      <c r="A31" s="314" t="s">
        <v>413</v>
      </c>
      <c r="B31" s="442">
        <v>8060</v>
      </c>
      <c r="C31" s="441">
        <v>4580</v>
      </c>
      <c r="D31" s="1" t="s">
        <v>500</v>
      </c>
      <c r="F31" s="450">
        <v>9040</v>
      </c>
      <c r="G31" s="433"/>
      <c r="H31" s="450">
        <v>6550</v>
      </c>
      <c r="I31" s="450">
        <v>3690</v>
      </c>
    </row>
    <row r="32" spans="1:9" s="197" customFormat="1" ht="35.25" customHeight="1">
      <c r="A32" s="314" t="s">
        <v>414</v>
      </c>
      <c r="B32" s="442">
        <v>6550</v>
      </c>
      <c r="C32" s="441">
        <v>4580</v>
      </c>
      <c r="D32" s="1"/>
      <c r="F32" s="450">
        <v>7570</v>
      </c>
      <c r="G32" s="433"/>
      <c r="H32" s="450">
        <v>6550</v>
      </c>
      <c r="I32" s="450">
        <v>3690</v>
      </c>
    </row>
    <row r="33" spans="1:9" s="197" customFormat="1" ht="35.25" customHeight="1">
      <c r="A33" s="314" t="s">
        <v>36</v>
      </c>
      <c r="B33" s="442">
        <v>13900</v>
      </c>
      <c r="C33" s="441">
        <v>4580</v>
      </c>
      <c r="D33" s="1"/>
      <c r="F33" s="451" t="s">
        <v>407</v>
      </c>
      <c r="G33" s="433"/>
      <c r="H33" s="457"/>
      <c r="I33" s="450"/>
    </row>
    <row r="34" spans="1:9" s="197" customFormat="1" ht="35.25" customHeight="1">
      <c r="A34" s="314" t="s">
        <v>415</v>
      </c>
      <c r="B34" s="442">
        <v>8410</v>
      </c>
      <c r="C34" s="441">
        <v>9620</v>
      </c>
      <c r="D34" s="1"/>
      <c r="F34" s="451">
        <v>10990</v>
      </c>
      <c r="G34" s="434">
        <v>0</v>
      </c>
      <c r="H34" s="457"/>
      <c r="I34" s="450"/>
    </row>
    <row r="35" spans="1:13" ht="35.25" customHeight="1">
      <c r="A35" s="314" t="s">
        <v>136</v>
      </c>
      <c r="B35" s="442">
        <v>8690</v>
      </c>
      <c r="C35" s="441">
        <v>4580</v>
      </c>
      <c r="E35" s="197"/>
      <c r="F35" s="451">
        <v>8690</v>
      </c>
      <c r="G35" s="435">
        <v>0</v>
      </c>
      <c r="H35" s="457"/>
      <c r="I35" s="450"/>
      <c r="J35" s="197"/>
      <c r="K35" s="197"/>
      <c r="L35" s="197"/>
      <c r="M35" s="197"/>
    </row>
    <row r="36" spans="1:13" ht="35.25" customHeight="1">
      <c r="A36" s="314" t="s">
        <v>324</v>
      </c>
      <c r="B36" s="442">
        <v>8060</v>
      </c>
      <c r="C36" s="441">
        <v>4580</v>
      </c>
      <c r="E36" s="197"/>
      <c r="F36" s="452">
        <v>9040</v>
      </c>
      <c r="G36" s="433">
        <v>0</v>
      </c>
      <c r="H36" s="452">
        <v>6550</v>
      </c>
      <c r="I36" s="450">
        <v>3690</v>
      </c>
      <c r="J36" s="197"/>
      <c r="K36" s="197"/>
      <c r="L36" s="197"/>
      <c r="M36" s="197"/>
    </row>
    <row r="37" spans="1:13" ht="35.25" customHeight="1">
      <c r="A37" s="314" t="s">
        <v>416</v>
      </c>
      <c r="B37" s="446">
        <v>15250</v>
      </c>
      <c r="C37" s="441">
        <v>6540</v>
      </c>
      <c r="E37" s="197"/>
      <c r="F37" s="453">
        <v>16720</v>
      </c>
      <c r="G37" s="433"/>
      <c r="H37" s="453"/>
      <c r="I37" s="453"/>
      <c r="J37" s="197"/>
      <c r="K37" s="197"/>
      <c r="L37" s="197"/>
      <c r="M37" s="197"/>
    </row>
    <row r="38" spans="1:13" ht="35.25" customHeight="1">
      <c r="A38" s="314" t="s">
        <v>182</v>
      </c>
      <c r="B38" s="442">
        <v>16760</v>
      </c>
      <c r="C38" s="441">
        <v>6540</v>
      </c>
      <c r="E38" s="197"/>
      <c r="F38" s="454">
        <v>18210</v>
      </c>
      <c r="G38" s="433"/>
      <c r="H38" s="458"/>
      <c r="I38" s="458"/>
      <c r="J38" s="197"/>
      <c r="K38" s="197"/>
      <c r="L38" s="197"/>
      <c r="M38" s="197"/>
    </row>
    <row r="39" spans="1:13" ht="35.25" customHeight="1">
      <c r="A39" s="314" t="s">
        <v>417</v>
      </c>
      <c r="B39" s="442">
        <v>18880</v>
      </c>
      <c r="C39" s="441">
        <v>9490</v>
      </c>
      <c r="E39" s="197"/>
      <c r="F39" s="455">
        <v>24540</v>
      </c>
      <c r="G39" s="434">
        <v>0</v>
      </c>
      <c r="H39" s="459"/>
      <c r="I39" s="450"/>
      <c r="J39" s="197"/>
      <c r="K39" s="197"/>
      <c r="L39" s="197"/>
      <c r="M39" s="197"/>
    </row>
    <row r="40" spans="1:13" ht="35.25" customHeight="1">
      <c r="A40" s="314" t="s">
        <v>418</v>
      </c>
      <c r="B40" s="442">
        <v>21070</v>
      </c>
      <c r="C40" s="441">
        <v>9960</v>
      </c>
      <c r="E40" s="197"/>
      <c r="F40" s="456">
        <v>28070</v>
      </c>
      <c r="G40" s="436">
        <v>0</v>
      </c>
      <c r="H40" s="459"/>
      <c r="I40" s="452"/>
      <c r="J40" s="197"/>
      <c r="K40" s="197"/>
      <c r="L40" s="197"/>
      <c r="M40" s="197"/>
    </row>
    <row r="41" spans="1:13" ht="35.25" customHeight="1">
      <c r="A41" s="314" t="s">
        <v>419</v>
      </c>
      <c r="B41" s="442">
        <v>8060</v>
      </c>
      <c r="C41" s="441">
        <v>4580</v>
      </c>
      <c r="E41" s="197"/>
      <c r="F41" s="456">
        <v>9040</v>
      </c>
      <c r="G41" s="436">
        <v>0</v>
      </c>
      <c r="H41" s="459">
        <v>6550</v>
      </c>
      <c r="I41" s="450">
        <v>3690</v>
      </c>
      <c r="J41" s="197"/>
      <c r="K41" s="197"/>
      <c r="L41" s="197"/>
      <c r="M41" s="197"/>
    </row>
    <row r="42" spans="1:13" ht="35.25" customHeight="1">
      <c r="A42" s="314" t="s">
        <v>420</v>
      </c>
      <c r="B42" s="442">
        <v>8900</v>
      </c>
      <c r="C42" s="441">
        <v>9620</v>
      </c>
      <c r="E42" s="197"/>
      <c r="F42" s="456">
        <v>11810</v>
      </c>
      <c r="G42" s="436">
        <v>0</v>
      </c>
      <c r="H42" s="459"/>
      <c r="I42" s="452"/>
      <c r="J42" s="197"/>
      <c r="K42" s="197"/>
      <c r="L42" s="197"/>
      <c r="M42" s="197"/>
    </row>
    <row r="43" spans="1:13" ht="35.25" customHeight="1">
      <c r="A43" s="314" t="s">
        <v>48</v>
      </c>
      <c r="B43" s="442">
        <v>19550</v>
      </c>
      <c r="C43" s="441">
        <v>9960</v>
      </c>
      <c r="E43" s="197"/>
      <c r="F43" s="456">
        <v>21070</v>
      </c>
      <c r="G43" s="436">
        <v>0</v>
      </c>
      <c r="H43" s="459"/>
      <c r="I43" s="452"/>
      <c r="J43" s="197"/>
      <c r="K43" s="197"/>
      <c r="L43" s="197"/>
      <c r="M43" s="197"/>
    </row>
    <row r="44" spans="1:13" ht="35.25" customHeight="1">
      <c r="A44" s="314" t="s">
        <v>117</v>
      </c>
      <c r="B44" s="442">
        <v>22720</v>
      </c>
      <c r="C44" s="441">
        <v>9960</v>
      </c>
      <c r="E44" s="197"/>
      <c r="F44" s="456">
        <v>28070</v>
      </c>
      <c r="G44" s="436">
        <v>0</v>
      </c>
      <c r="H44" s="459"/>
      <c r="I44" s="452"/>
      <c r="J44" s="197"/>
      <c r="K44" s="197"/>
      <c r="L44" s="197"/>
      <c r="M44" s="197"/>
    </row>
    <row r="45" spans="1:13" ht="35.25" customHeight="1">
      <c r="A45" s="314" t="s">
        <v>421</v>
      </c>
      <c r="B45" s="442">
        <v>9940</v>
      </c>
      <c r="C45" s="441">
        <v>9620</v>
      </c>
      <c r="E45" s="197"/>
      <c r="F45" s="456">
        <v>13020</v>
      </c>
      <c r="G45" s="436">
        <v>0</v>
      </c>
      <c r="H45" s="459"/>
      <c r="I45" s="452"/>
      <c r="J45" s="197"/>
      <c r="K45" s="197"/>
      <c r="L45" s="197"/>
      <c r="M45" s="197"/>
    </row>
    <row r="46" spans="1:13" ht="35.25" customHeight="1">
      <c r="A46" s="314" t="s">
        <v>422</v>
      </c>
      <c r="B46" s="442">
        <v>11980</v>
      </c>
      <c r="C46" s="441">
        <v>9960</v>
      </c>
      <c r="E46" s="197"/>
      <c r="F46" s="456">
        <v>15150</v>
      </c>
      <c r="G46" s="436">
        <v>0</v>
      </c>
      <c r="H46" s="459"/>
      <c r="I46" s="452"/>
      <c r="J46" s="197"/>
      <c r="K46" s="197"/>
      <c r="L46" s="197"/>
      <c r="M46" s="197"/>
    </row>
    <row r="47" spans="1:13" ht="35.25" customHeight="1">
      <c r="A47" s="314" t="s">
        <v>423</v>
      </c>
      <c r="B47" s="442">
        <v>9210</v>
      </c>
      <c r="C47" s="441">
        <v>9960</v>
      </c>
      <c r="E47" s="197"/>
      <c r="F47" s="455">
        <v>11420</v>
      </c>
      <c r="G47" s="435">
        <v>0</v>
      </c>
      <c r="H47" s="459">
        <v>43230</v>
      </c>
      <c r="I47" s="452"/>
      <c r="J47" s="197"/>
      <c r="K47" s="197"/>
      <c r="L47" s="197"/>
      <c r="M47" s="197"/>
    </row>
    <row r="48" spans="1:13" ht="35.25" customHeight="1">
      <c r="A48" s="314" t="s">
        <v>424</v>
      </c>
      <c r="B48" s="442">
        <v>9720</v>
      </c>
      <c r="C48" s="441">
        <v>14750</v>
      </c>
      <c r="E48" s="197"/>
      <c r="F48" s="452">
        <v>16880</v>
      </c>
      <c r="G48" s="334" t="s">
        <v>407</v>
      </c>
      <c r="H48" s="452"/>
      <c r="I48" s="452"/>
      <c r="J48" s="197"/>
      <c r="K48" s="197"/>
      <c r="L48" s="197"/>
      <c r="M48" s="197"/>
    </row>
    <row r="49" spans="1:13" ht="35.25" customHeight="1">
      <c r="A49" s="338" t="s">
        <v>425</v>
      </c>
      <c r="B49" s="447">
        <v>9210</v>
      </c>
      <c r="C49" s="448">
        <v>9960</v>
      </c>
      <c r="E49" s="197"/>
      <c r="F49" s="453">
        <v>12200</v>
      </c>
      <c r="G49" s="437">
        <v>0</v>
      </c>
      <c r="H49" s="453"/>
      <c r="I49" s="453"/>
      <c r="J49" s="197"/>
      <c r="K49" s="197"/>
      <c r="L49" s="197"/>
      <c r="M49" s="197"/>
    </row>
    <row r="50" spans="1:13" ht="35.25" customHeight="1">
      <c r="A50" s="408" t="str">
        <f>СГИ!B60</f>
        <v>БР-10М, динрельс</v>
      </c>
      <c r="B50" s="395"/>
      <c r="C50" s="460">
        <f>СГИ!D60</f>
        <v>2150</v>
      </c>
      <c r="D50" s="431" t="s">
        <v>426</v>
      </c>
      <c r="E50" s="197"/>
      <c r="L50" s="197"/>
      <c r="M50" s="197"/>
    </row>
    <row r="51" spans="1:13" ht="35.25" customHeight="1">
      <c r="A51" s="438" t="str">
        <f>СГИ!B61</f>
        <v>блок искрозащиты</v>
      </c>
      <c r="B51" s="395"/>
      <c r="C51" s="461">
        <f>СГИ!D61</f>
        <v>3900</v>
      </c>
      <c r="D51" s="439" t="s">
        <v>428</v>
      </c>
      <c r="E51" s="197"/>
      <c r="L51" s="197"/>
      <c r="M51" s="197"/>
    </row>
    <row r="52" spans="1:13" ht="35.25" customHeight="1">
      <c r="A52" s="438" t="str">
        <f>СГИ!B62</f>
        <v>блок БППН</v>
      </c>
      <c r="B52" s="395"/>
      <c r="C52" s="461">
        <f>СГИ!D62</f>
        <v>4620</v>
      </c>
      <c r="D52" s="427" t="s">
        <v>430</v>
      </c>
      <c r="E52" s="197"/>
      <c r="L52" s="197"/>
      <c r="M52" s="197"/>
    </row>
    <row r="53" spans="1:3" ht="35.25" customHeight="1">
      <c r="A53" s="438" t="str">
        <f>СГИ!B63</f>
        <v>наценка на моноблок</v>
      </c>
      <c r="B53" s="395"/>
      <c r="C53" s="461">
        <f>СГИ!D63</f>
        <v>1218</v>
      </c>
    </row>
    <row r="54" spans="1:3" ht="35.25" customHeight="1">
      <c r="A54" s="438" t="str">
        <f>СГИ!B64</f>
        <v>блок коммутации/управления</v>
      </c>
      <c r="B54" s="395"/>
      <c r="C54" s="461">
        <f>СГИ!D64</f>
        <v>10878</v>
      </c>
    </row>
  </sheetData>
  <sheetProtection autoFilter="0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69"/>
  <sheetViews>
    <sheetView zoomScalePageLayoutView="0" workbookViewId="0" topLeftCell="E10">
      <selection activeCell="R43" sqref="R43"/>
    </sheetView>
  </sheetViews>
  <sheetFormatPr defaultColWidth="15.75390625" defaultRowHeight="14.25" customHeight="1"/>
  <cols>
    <col min="1" max="6" width="15.75390625" style="630" customWidth="1"/>
    <col min="7" max="17" width="15.75390625" style="629" customWidth="1"/>
    <col min="18" max="22" width="15.75390625" style="630" customWidth="1"/>
    <col min="23" max="25" width="15.75390625" style="629" customWidth="1"/>
    <col min="26" max="16384" width="15.75390625" style="630" customWidth="1"/>
  </cols>
  <sheetData>
    <row r="1" spans="1:12" ht="14.25" customHeight="1" thickBot="1">
      <c r="A1" s="627" t="s">
        <v>431</v>
      </c>
      <c r="B1" s="628">
        <v>0</v>
      </c>
      <c r="C1" s="629"/>
      <c r="E1" s="631" t="str">
        <f>CONCATENATE("месяцев от ",G2)</f>
        <v>месяцев от 05.09.2018</v>
      </c>
      <c r="F1" s="632">
        <f>12*(L1-I1)+(K1-H1)</f>
        <v>37</v>
      </c>
      <c r="G1" s="629">
        <f>DATEVALUE(G2)</f>
        <v>43348</v>
      </c>
      <c r="H1" s="633">
        <f>MONTH(G1)</f>
        <v>9</v>
      </c>
      <c r="I1" s="633">
        <f>YEAR(G1)</f>
        <v>2018</v>
      </c>
      <c r="J1" s="634">
        <f ca="1">TODAY()</f>
        <v>44476</v>
      </c>
      <c r="K1" s="633">
        <f>MONTH(J1)</f>
        <v>10</v>
      </c>
      <c r="L1" s="635">
        <f>YEAR(J1)</f>
        <v>2021</v>
      </c>
    </row>
    <row r="2" spans="1:14" ht="14.25" customHeight="1" thickBot="1">
      <c r="A2" s="636" t="s">
        <v>360</v>
      </c>
      <c r="B2" s="637">
        <f>СГИ!B1</f>
        <v>0.2</v>
      </c>
      <c r="C2" s="629"/>
      <c r="E2" s="638" t="s">
        <v>432</v>
      </c>
      <c r="F2" s="639">
        <f>(1+B1*F1)</f>
        <v>1</v>
      </c>
      <c r="G2" s="640" t="s">
        <v>517</v>
      </c>
      <c r="H2" s="641" t="s">
        <v>433</v>
      </c>
      <c r="I2" s="642"/>
      <c r="J2" s="643">
        <f ca="1">TODAY()</f>
        <v>44476</v>
      </c>
      <c r="K2" s="642" t="s">
        <v>434</v>
      </c>
      <c r="L2" s="644"/>
      <c r="N2" s="645"/>
    </row>
    <row r="3" spans="3:8" ht="14.25" customHeight="1" thickBot="1">
      <c r="C3" s="646"/>
      <c r="D3" s="647"/>
      <c r="E3" s="631" t="s">
        <v>435</v>
      </c>
      <c r="F3" s="648">
        <f>1+0.1*(L1-I1)</f>
        <v>1.3</v>
      </c>
      <c r="G3" s="649" t="s">
        <v>436</v>
      </c>
      <c r="H3" s="650"/>
    </row>
    <row r="4" spans="1:10" ht="14.25" customHeight="1" thickBot="1">
      <c r="A4" s="651" t="str">
        <f>CONCATENATE("цены без НДС, с учетом инфляции ",B1*100," %/мес")</f>
        <v>цены без НДС, с учетом инфляции 0 %/мес</v>
      </c>
      <c r="B4" s="652"/>
      <c r="C4" s="652"/>
      <c r="J4" s="653"/>
    </row>
    <row r="5" spans="1:19" ht="14.25" customHeight="1" thickBot="1">
      <c r="A5" s="637"/>
      <c r="B5" s="654" t="s">
        <v>309</v>
      </c>
      <c r="C5" s="655"/>
      <c r="D5" s="654" t="s">
        <v>437</v>
      </c>
      <c r="E5" s="656"/>
      <c r="R5" s="657" t="str">
        <f>R37</f>
        <v>цена канала</v>
      </c>
      <c r="S5" s="657" t="str">
        <f>S37</f>
        <v>цена корпуса</v>
      </c>
    </row>
    <row r="6" spans="1:18" ht="14.25" customHeight="1" thickBot="1">
      <c r="A6" s="658" t="s">
        <v>312</v>
      </c>
      <c r="B6" s="646" t="s">
        <v>345</v>
      </c>
      <c r="C6" s="659" t="s">
        <v>307</v>
      </c>
      <c r="D6" s="646" t="s">
        <v>345</v>
      </c>
      <c r="E6" s="659" t="s">
        <v>307</v>
      </c>
      <c r="G6" s="660" t="s">
        <v>297</v>
      </c>
      <c r="H6" s="661" t="s">
        <v>309</v>
      </c>
      <c r="I6" s="660" t="s">
        <v>438</v>
      </c>
      <c r="J6" s="662" t="s">
        <v>439</v>
      </c>
      <c r="L6" s="663" t="s">
        <v>297</v>
      </c>
      <c r="M6" s="657" t="s">
        <v>309</v>
      </c>
      <c r="N6" s="660" t="s">
        <v>438</v>
      </c>
      <c r="O6" s="662" t="s">
        <v>439</v>
      </c>
      <c r="R6" s="664" t="str">
        <f>R38</f>
        <v>ОКА моноблок</v>
      </c>
    </row>
    <row r="7" spans="1:19" ht="14.25" customHeight="1" thickBot="1">
      <c r="A7" s="665" t="str">
        <f aca="true" t="shared" si="0" ref="A7:A23">A39</f>
        <v>O2</v>
      </c>
      <c r="B7" s="666">
        <f aca="true" t="shared" si="1" ref="B7:E8">ROUND(B39*$F$2,-1)</f>
        <v>9850</v>
      </c>
      <c r="C7" s="656">
        <f>ROUND(C39*$F$2,-1)</f>
        <v>10560</v>
      </c>
      <c r="D7" s="667">
        <f t="shared" si="1"/>
        <v>2550</v>
      </c>
      <c r="E7" s="656">
        <f t="shared" si="1"/>
        <v>2550</v>
      </c>
      <c r="G7" s="668" t="s">
        <v>440</v>
      </c>
      <c r="H7" s="669">
        <v>7670</v>
      </c>
      <c r="I7" s="669">
        <v>2340</v>
      </c>
      <c r="J7" s="670" t="s">
        <v>439</v>
      </c>
      <c r="L7" s="668" t="s">
        <v>440</v>
      </c>
      <c r="M7" s="671">
        <v>7860</v>
      </c>
      <c r="N7" s="671">
        <v>2340</v>
      </c>
      <c r="O7" s="670" t="s">
        <v>439</v>
      </c>
      <c r="Q7" s="664" t="str">
        <f aca="true" t="shared" si="2" ref="Q7:Q23">Q39</f>
        <v>O2</v>
      </c>
      <c r="R7" s="656">
        <f aca="true" t="shared" si="3" ref="R7:S23">ROUND(R39*$F$2,-1)</f>
        <v>9850</v>
      </c>
      <c r="S7" s="656">
        <f t="shared" si="3"/>
        <v>2550</v>
      </c>
    </row>
    <row r="8" spans="1:19" ht="14.25" customHeight="1" thickBot="1">
      <c r="A8" s="665" t="str">
        <f t="shared" si="0"/>
        <v>H2</v>
      </c>
      <c r="B8" s="672">
        <f t="shared" si="1"/>
        <v>8380</v>
      </c>
      <c r="C8" s="673">
        <f t="shared" si="1"/>
        <v>8420</v>
      </c>
      <c r="D8" s="674">
        <f t="shared" si="1"/>
        <v>2550</v>
      </c>
      <c r="E8" s="673">
        <f t="shared" si="1"/>
        <v>2550</v>
      </c>
      <c r="G8" s="675" t="s">
        <v>441</v>
      </c>
      <c r="H8" s="669">
        <v>7670</v>
      </c>
      <c r="I8" s="669">
        <v>2340</v>
      </c>
      <c r="J8" s="676" t="s">
        <v>439</v>
      </c>
      <c r="L8" s="675" t="s">
        <v>441</v>
      </c>
      <c r="M8" s="671">
        <v>7860</v>
      </c>
      <c r="N8" s="671">
        <v>2340</v>
      </c>
      <c r="O8" s="676" t="s">
        <v>439</v>
      </c>
      <c r="Q8" s="677" t="str">
        <f t="shared" si="2"/>
        <v>H2</v>
      </c>
      <c r="R8" s="656">
        <f t="shared" si="3"/>
        <v>8380</v>
      </c>
      <c r="S8" s="656">
        <f t="shared" si="3"/>
        <v>2550</v>
      </c>
    </row>
    <row r="9" spans="1:19" ht="14.25" customHeight="1" thickBot="1">
      <c r="A9" s="665" t="str">
        <f t="shared" si="0"/>
        <v>CH4</v>
      </c>
      <c r="B9" s="672">
        <f aca="true" t="shared" si="4" ref="B9:E19">ROUND(B41*$F$2,-1)</f>
        <v>8380</v>
      </c>
      <c r="C9" s="673">
        <f t="shared" si="4"/>
        <v>8420</v>
      </c>
      <c r="D9" s="672">
        <f t="shared" si="4"/>
        <v>2550</v>
      </c>
      <c r="E9" s="673">
        <f t="shared" si="4"/>
        <v>2550</v>
      </c>
      <c r="G9" s="678" t="s">
        <v>442</v>
      </c>
      <c r="H9" s="669">
        <v>7670</v>
      </c>
      <c r="I9" s="669">
        <v>2340</v>
      </c>
      <c r="J9" s="676" t="s">
        <v>439</v>
      </c>
      <c r="L9" s="678" t="s">
        <v>442</v>
      </c>
      <c r="M9" s="671">
        <v>7860</v>
      </c>
      <c r="N9" s="671">
        <v>2340</v>
      </c>
      <c r="O9" s="676" t="s">
        <v>439</v>
      </c>
      <c r="Q9" s="677" t="str">
        <f t="shared" si="2"/>
        <v>CH4</v>
      </c>
      <c r="R9" s="656">
        <f t="shared" si="3"/>
        <v>8380</v>
      </c>
      <c r="S9" s="656">
        <f t="shared" si="3"/>
        <v>2550</v>
      </c>
    </row>
    <row r="10" spans="1:19" ht="14.25" customHeight="1" thickBot="1">
      <c r="A10" s="665" t="str">
        <f t="shared" si="0"/>
        <v>C3H8</v>
      </c>
      <c r="B10" s="672">
        <f t="shared" si="4"/>
        <v>8380</v>
      </c>
      <c r="C10" s="673">
        <f t="shared" si="4"/>
        <v>8420</v>
      </c>
      <c r="D10" s="672">
        <f t="shared" si="4"/>
        <v>2550</v>
      </c>
      <c r="E10" s="673">
        <f t="shared" si="4"/>
        <v>2550</v>
      </c>
      <c r="G10" s="675" t="s">
        <v>36</v>
      </c>
      <c r="H10" s="671">
        <v>20700</v>
      </c>
      <c r="I10" s="671">
        <v>2340</v>
      </c>
      <c r="J10" s="676" t="s">
        <v>439</v>
      </c>
      <c r="L10" s="675" t="s">
        <v>36</v>
      </c>
      <c r="M10" s="671">
        <v>20700</v>
      </c>
      <c r="N10" s="671">
        <v>2340</v>
      </c>
      <c r="O10" s="676" t="s">
        <v>439</v>
      </c>
      <c r="Q10" s="677" t="str">
        <f t="shared" si="2"/>
        <v>CH4 с зондом</v>
      </c>
      <c r="R10" s="656">
        <f t="shared" si="3"/>
        <v>9750</v>
      </c>
      <c r="S10" s="656">
        <f t="shared" si="3"/>
        <v>4040</v>
      </c>
    </row>
    <row r="11" spans="1:19" ht="14.25" customHeight="1" thickBot="1">
      <c r="A11" s="665" t="str">
        <f t="shared" si="0"/>
        <v>C6H14</v>
      </c>
      <c r="B11" s="672">
        <f t="shared" si="4"/>
        <v>8380</v>
      </c>
      <c r="C11" s="673">
        <f t="shared" si="4"/>
        <v>8420</v>
      </c>
      <c r="D11" s="674">
        <f t="shared" si="4"/>
        <v>2550</v>
      </c>
      <c r="E11" s="673">
        <f t="shared" si="4"/>
        <v>2550</v>
      </c>
      <c r="G11" s="675" t="s">
        <v>443</v>
      </c>
      <c r="H11" s="671">
        <v>10480</v>
      </c>
      <c r="I11" s="671">
        <v>2340</v>
      </c>
      <c r="J11" s="676" t="s">
        <v>439</v>
      </c>
      <c r="L11" s="679" t="s">
        <v>444</v>
      </c>
      <c r="M11" s="680">
        <v>10480</v>
      </c>
      <c r="N11" s="680">
        <v>2340</v>
      </c>
      <c r="O11" s="681" t="s">
        <v>439</v>
      </c>
      <c r="Q11" s="677" t="str">
        <f t="shared" si="2"/>
        <v>C3H8</v>
      </c>
      <c r="R11" s="656">
        <f t="shared" si="3"/>
        <v>8380</v>
      </c>
      <c r="S11" s="656">
        <f t="shared" si="3"/>
        <v>2550</v>
      </c>
    </row>
    <row r="12" spans="1:19" ht="14.25" customHeight="1" thickBot="1">
      <c r="A12" s="665" t="str">
        <f t="shared" si="0"/>
        <v>CHir</v>
      </c>
      <c r="B12" s="672">
        <f t="shared" si="4"/>
        <v>22160</v>
      </c>
      <c r="C12" s="673">
        <f t="shared" si="4"/>
        <v>22160</v>
      </c>
      <c r="D12" s="674">
        <f t="shared" si="4"/>
        <v>2550</v>
      </c>
      <c r="E12" s="673">
        <f t="shared" si="4"/>
        <v>2550</v>
      </c>
      <c r="G12" s="682" t="s">
        <v>324</v>
      </c>
      <c r="H12" s="671">
        <v>7670</v>
      </c>
      <c r="I12" s="671">
        <v>2340</v>
      </c>
      <c r="J12" s="676" t="s">
        <v>439</v>
      </c>
      <c r="L12" s="675" t="s">
        <v>324</v>
      </c>
      <c r="M12" s="671">
        <v>7860</v>
      </c>
      <c r="N12" s="671">
        <v>2340</v>
      </c>
      <c r="O12" s="676" t="s">
        <v>439</v>
      </c>
      <c r="Q12" s="677" t="str">
        <f t="shared" si="2"/>
        <v>C6H14</v>
      </c>
      <c r="R12" s="656">
        <f t="shared" si="3"/>
        <v>8380</v>
      </c>
      <c r="S12" s="656">
        <f t="shared" si="3"/>
        <v>2550</v>
      </c>
    </row>
    <row r="13" spans="1:19" ht="14.25" customHeight="1" thickBot="1">
      <c r="A13" s="665" t="str">
        <f t="shared" si="0"/>
        <v>CO2</v>
      </c>
      <c r="B13" s="672">
        <f t="shared" si="4"/>
        <v>22230</v>
      </c>
      <c r="C13" s="673">
        <f t="shared" si="4"/>
        <v>22230</v>
      </c>
      <c r="D13" s="674">
        <f t="shared" si="4"/>
        <v>2380</v>
      </c>
      <c r="E13" s="686">
        <f t="shared" si="4"/>
        <v>2380</v>
      </c>
      <c r="G13" s="682" t="s">
        <v>445</v>
      </c>
      <c r="H13" s="671">
        <v>10480</v>
      </c>
      <c r="I13" s="671">
        <v>2340</v>
      </c>
      <c r="J13" s="676" t="s">
        <v>439</v>
      </c>
      <c r="L13" s="683" t="s">
        <v>446</v>
      </c>
      <c r="M13" s="671">
        <v>10480</v>
      </c>
      <c r="N13" s="671">
        <v>2340</v>
      </c>
      <c r="O13" s="676" t="s">
        <v>439</v>
      </c>
      <c r="Q13" s="677" t="str">
        <f t="shared" si="2"/>
        <v>CHir</v>
      </c>
      <c r="R13" s="656">
        <f t="shared" si="3"/>
        <v>22160</v>
      </c>
      <c r="S13" s="656">
        <f t="shared" si="3"/>
        <v>2380</v>
      </c>
    </row>
    <row r="14" spans="1:19" ht="14.25" customHeight="1" thickBot="1">
      <c r="A14" s="665" t="str">
        <f t="shared" si="0"/>
        <v>CO</v>
      </c>
      <c r="B14" s="672">
        <f t="shared" si="4"/>
        <v>11450</v>
      </c>
      <c r="C14" s="673">
        <f t="shared" si="4"/>
        <v>11450</v>
      </c>
      <c r="D14" s="674">
        <f t="shared" si="4"/>
        <v>2550</v>
      </c>
      <c r="E14" s="673">
        <f t="shared" si="4"/>
        <v>2550</v>
      </c>
      <c r="G14" s="684" t="s">
        <v>51</v>
      </c>
      <c r="H14" s="685">
        <f>ПГ!B23</f>
        <v>24540</v>
      </c>
      <c r="I14" s="685">
        <f>ПГ!D23</f>
        <v>2510</v>
      </c>
      <c r="J14" s="676" t="s">
        <v>439</v>
      </c>
      <c r="L14" s="684" t="s">
        <v>51</v>
      </c>
      <c r="M14" s="685">
        <f>ПГ!C23</f>
        <v>24540</v>
      </c>
      <c r="N14" s="685">
        <f>ПГ!E23</f>
        <v>2510</v>
      </c>
      <c r="O14" s="676" t="s">
        <v>439</v>
      </c>
      <c r="Q14" s="677" t="str">
        <f t="shared" si="2"/>
        <v>CO</v>
      </c>
      <c r="R14" s="656">
        <f t="shared" si="3"/>
        <v>11450</v>
      </c>
      <c r="S14" s="656">
        <f t="shared" si="3"/>
        <v>2550</v>
      </c>
    </row>
    <row r="15" spans="1:19" ht="14.25" customHeight="1" thickBot="1">
      <c r="A15" s="665" t="str">
        <f t="shared" si="0"/>
        <v>H2S</v>
      </c>
      <c r="B15" s="672">
        <f t="shared" si="4"/>
        <v>11450</v>
      </c>
      <c r="C15" s="673">
        <f t="shared" si="4"/>
        <v>11450</v>
      </c>
      <c r="D15" s="674">
        <f t="shared" si="4"/>
        <v>2550</v>
      </c>
      <c r="E15" s="673">
        <f t="shared" si="4"/>
        <v>2550</v>
      </c>
      <c r="G15" s="675" t="s">
        <v>447</v>
      </c>
      <c r="H15" s="671">
        <v>7670</v>
      </c>
      <c r="I15" s="671">
        <v>2340</v>
      </c>
      <c r="J15" s="676" t="s">
        <v>439</v>
      </c>
      <c r="L15" s="675" t="s">
        <v>448</v>
      </c>
      <c r="M15" s="671">
        <v>24640</v>
      </c>
      <c r="N15" s="671">
        <v>2340</v>
      </c>
      <c r="O15" s="676" t="s">
        <v>439</v>
      </c>
      <c r="Q15" s="677" t="str">
        <f t="shared" si="2"/>
        <v>H2S</v>
      </c>
      <c r="R15" s="656">
        <f t="shared" si="3"/>
        <v>11450</v>
      </c>
      <c r="S15" s="656">
        <f t="shared" si="3"/>
        <v>2550</v>
      </c>
    </row>
    <row r="16" spans="1:19" ht="14.25" customHeight="1" thickBot="1">
      <c r="A16" s="665" t="str">
        <f t="shared" si="0"/>
        <v>SO2</v>
      </c>
      <c r="B16" s="672">
        <f t="shared" si="4"/>
        <v>11220</v>
      </c>
      <c r="C16" s="673">
        <f t="shared" si="4"/>
        <v>11220</v>
      </c>
      <c r="D16" s="672">
        <f t="shared" si="4"/>
        <v>2510</v>
      </c>
      <c r="E16" s="673">
        <f t="shared" si="4"/>
        <v>2510</v>
      </c>
      <c r="G16" s="675" t="s">
        <v>48</v>
      </c>
      <c r="H16" s="671">
        <v>20110</v>
      </c>
      <c r="I16" s="671">
        <v>2340</v>
      </c>
      <c r="J16" s="676" t="s">
        <v>439</v>
      </c>
      <c r="L16" s="675" t="s">
        <v>447</v>
      </c>
      <c r="M16" s="671">
        <v>7860</v>
      </c>
      <c r="N16" s="671">
        <v>2340</v>
      </c>
      <c r="O16" s="676" t="s">
        <v>439</v>
      </c>
      <c r="Q16" s="677" t="str">
        <f t="shared" si="2"/>
        <v>SO2</v>
      </c>
      <c r="R16" s="656">
        <f t="shared" si="3"/>
        <v>11220</v>
      </c>
      <c r="S16" s="656">
        <f t="shared" si="3"/>
        <v>2510</v>
      </c>
    </row>
    <row r="17" spans="1:19" ht="14.25" customHeight="1" thickBot="1">
      <c r="A17" s="665" t="str">
        <f t="shared" si="0"/>
        <v>Cl2</v>
      </c>
      <c r="B17" s="672">
        <f t="shared" si="4"/>
        <v>11220</v>
      </c>
      <c r="C17" s="673">
        <f t="shared" si="4"/>
        <v>11220</v>
      </c>
      <c r="D17" s="672">
        <f t="shared" si="4"/>
        <v>2510</v>
      </c>
      <c r="E17" s="673">
        <f t="shared" si="4"/>
        <v>2510</v>
      </c>
      <c r="G17" s="675" t="s">
        <v>59</v>
      </c>
      <c r="H17" s="671">
        <v>11630</v>
      </c>
      <c r="I17" s="671">
        <v>2110</v>
      </c>
      <c r="J17" s="676" t="s">
        <v>439</v>
      </c>
      <c r="L17" s="675" t="s">
        <v>117</v>
      </c>
      <c r="M17" s="671">
        <v>24640</v>
      </c>
      <c r="N17" s="671">
        <v>2340</v>
      </c>
      <c r="O17" s="676"/>
      <c r="Q17" s="677" t="str">
        <f t="shared" si="2"/>
        <v>Cl2</v>
      </c>
      <c r="R17" s="656">
        <f t="shared" si="3"/>
        <v>11220</v>
      </c>
      <c r="S17" s="656">
        <f t="shared" si="3"/>
        <v>2510</v>
      </c>
    </row>
    <row r="18" spans="1:19" ht="14.25" customHeight="1" thickBot="1">
      <c r="A18" s="665" t="str">
        <f t="shared" si="0"/>
        <v>NH3</v>
      </c>
      <c r="B18" s="672">
        <f t="shared" si="4"/>
        <v>12460</v>
      </c>
      <c r="C18" s="673">
        <f t="shared" si="4"/>
        <v>12460</v>
      </c>
      <c r="D18" s="674">
        <f t="shared" si="4"/>
        <v>2260</v>
      </c>
      <c r="E18" s="686">
        <f t="shared" si="4"/>
        <v>2260</v>
      </c>
      <c r="G18" s="687" t="s">
        <v>61</v>
      </c>
      <c r="H18" s="671">
        <v>12140</v>
      </c>
      <c r="I18" s="671">
        <v>2340</v>
      </c>
      <c r="J18" s="676" t="s">
        <v>439</v>
      </c>
      <c r="L18" s="688" t="s">
        <v>59</v>
      </c>
      <c r="M18" s="671">
        <v>11630</v>
      </c>
      <c r="N18" s="671">
        <v>2110</v>
      </c>
      <c r="O18" s="676" t="s">
        <v>439</v>
      </c>
      <c r="Q18" s="677" t="str">
        <f t="shared" si="2"/>
        <v>NH3</v>
      </c>
      <c r="R18" s="656">
        <f t="shared" si="3"/>
        <v>12460</v>
      </c>
      <c r="S18" s="656">
        <f t="shared" si="3"/>
        <v>2260</v>
      </c>
    </row>
    <row r="19" spans="1:19" ht="14.25" customHeight="1" thickBot="1">
      <c r="A19" s="665" t="str">
        <f t="shared" si="0"/>
        <v>HF</v>
      </c>
      <c r="B19" s="672">
        <f t="shared" si="4"/>
        <v>26390</v>
      </c>
      <c r="C19" s="673">
        <f t="shared" si="4"/>
        <v>26390</v>
      </c>
      <c r="D19" s="674">
        <f>ROUND(D51*$F$2,-1)</f>
        <v>2510</v>
      </c>
      <c r="E19" s="686">
        <f t="shared" si="4"/>
        <v>2510</v>
      </c>
      <c r="G19" s="689" t="s">
        <v>303</v>
      </c>
      <c r="H19" s="690">
        <v>8810</v>
      </c>
      <c r="I19" s="690">
        <v>2340</v>
      </c>
      <c r="J19" s="691" t="s">
        <v>439</v>
      </c>
      <c r="L19" s="692" t="s">
        <v>303</v>
      </c>
      <c r="M19" s="671">
        <v>9460</v>
      </c>
      <c r="N19" s="671">
        <v>2340</v>
      </c>
      <c r="O19" s="676" t="s">
        <v>439</v>
      </c>
      <c r="Q19" s="677" t="str">
        <f t="shared" si="2"/>
        <v>NO2</v>
      </c>
      <c r="R19" s="656">
        <f t="shared" si="3"/>
        <v>13000</v>
      </c>
      <c r="S19" s="656">
        <f t="shared" si="3"/>
        <v>2510</v>
      </c>
    </row>
    <row r="20" spans="1:19" ht="14.25" customHeight="1" thickBot="1">
      <c r="A20" s="665" t="str">
        <f t="shared" si="0"/>
        <v>NO2</v>
      </c>
      <c r="B20" s="672">
        <f>ROUND(B52*$F$2,-1)</f>
        <v>13000</v>
      </c>
      <c r="C20" s="748" t="str">
        <f>"--"</f>
        <v>--</v>
      </c>
      <c r="D20" s="674">
        <f>ROUND(D52*$F$2,-1)</f>
        <v>2510</v>
      </c>
      <c r="E20" s="748" t="str">
        <f>"--"</f>
        <v>--</v>
      </c>
      <c r="G20" s="693" t="str">
        <f>A30</f>
        <v>зонд 0.5, 0.75, 1.0 м</v>
      </c>
      <c r="H20" s="690">
        <v>6050</v>
      </c>
      <c r="I20" s="694"/>
      <c r="L20" s="695" t="s">
        <v>450</v>
      </c>
      <c r="M20" s="696" t="str">
        <f>ПГ!C20</f>
        <v>--</v>
      </c>
      <c r="N20" s="696" t="str">
        <f>ПГ!E20</f>
        <v>--</v>
      </c>
      <c r="O20" s="697" t="s">
        <v>439</v>
      </c>
      <c r="Q20" s="677" t="str">
        <f t="shared" si="2"/>
        <v>HCl</v>
      </c>
      <c r="R20" s="656">
        <f t="shared" si="3"/>
        <v>19290</v>
      </c>
      <c r="S20" s="656">
        <f t="shared" si="3"/>
        <v>2510</v>
      </c>
    </row>
    <row r="21" spans="1:19" ht="14.25" customHeight="1" thickBot="1">
      <c r="A21" s="665" t="str">
        <f t="shared" si="0"/>
        <v>HCl</v>
      </c>
      <c r="B21" s="672">
        <f>ROUND(B53*$F$2,-1)</f>
        <v>19290</v>
      </c>
      <c r="C21" s="748" t="str">
        <f>"--"</f>
        <v>--</v>
      </c>
      <c r="D21" s="674">
        <f>ROUND(D53*$F$2,-1)</f>
        <v>2510</v>
      </c>
      <c r="E21" s="748" t="str">
        <f>"--"</f>
        <v>--</v>
      </c>
      <c r="F21" s="630" t="s">
        <v>117</v>
      </c>
      <c r="Q21" s="702" t="str">
        <f t="shared" si="2"/>
        <v>HF</v>
      </c>
      <c r="R21" s="703">
        <f t="shared" si="3"/>
        <v>26390</v>
      </c>
      <c r="S21" s="703">
        <f t="shared" si="3"/>
        <v>2510</v>
      </c>
    </row>
    <row r="22" spans="1:19" ht="14.25" customHeight="1" thickBot="1">
      <c r="A22" s="665" t="str">
        <f t="shared" si="0"/>
        <v>O3</v>
      </c>
      <c r="B22" s="672">
        <f>ROUND(B54*$F$2,-1)</f>
        <v>19120</v>
      </c>
      <c r="C22" s="673">
        <f>ROUND(C54*$F$2,-1)</f>
        <v>19120</v>
      </c>
      <c r="D22" s="674">
        <f>ROUND(D54*$F$2,-1)</f>
        <v>2510</v>
      </c>
      <c r="E22" s="673">
        <f>ROUND(E54*$F$2,-1)</f>
        <v>2510</v>
      </c>
      <c r="G22" s="698" t="s">
        <v>451</v>
      </c>
      <c r="H22" s="699">
        <v>3475</v>
      </c>
      <c r="J22" s="700"/>
      <c r="L22" s="698" t="s">
        <v>451</v>
      </c>
      <c r="M22" s="701">
        <v>3475</v>
      </c>
      <c r="Q22" s="702" t="str">
        <f t="shared" si="2"/>
        <v>CO2</v>
      </c>
      <c r="R22" s="703">
        <f t="shared" si="3"/>
        <v>22230</v>
      </c>
      <c r="S22" s="703">
        <f t="shared" si="3"/>
        <v>2510</v>
      </c>
    </row>
    <row r="23" spans="1:23" ht="14.25" customHeight="1" thickBot="1">
      <c r="A23" s="665" t="str">
        <f t="shared" si="0"/>
        <v>F2</v>
      </c>
      <c r="B23" s="672">
        <f>ROUND(B55*$F$2,-1)</f>
        <v>24540</v>
      </c>
      <c r="C23" s="705">
        <f>ROUND(C55*$F$2,-1)</f>
        <v>24540</v>
      </c>
      <c r="D23" s="706">
        <f>ROUND(D55*$F$2,-1)</f>
        <v>2510</v>
      </c>
      <c r="E23" s="705">
        <f>ROUND(E55*$F$2,-1)</f>
        <v>2510</v>
      </c>
      <c r="G23" s="704" t="s">
        <v>452</v>
      </c>
      <c r="H23" s="699">
        <v>4630</v>
      </c>
      <c r="L23" s="704" t="s">
        <v>452</v>
      </c>
      <c r="M23" s="701">
        <v>4630</v>
      </c>
      <c r="Q23" s="702" t="str">
        <f t="shared" si="2"/>
        <v>F2</v>
      </c>
      <c r="R23" s="703">
        <f t="shared" si="3"/>
        <v>21820</v>
      </c>
      <c r="S23" s="703">
        <f t="shared" si="3"/>
        <v>2510</v>
      </c>
      <c r="W23" s="985"/>
    </row>
    <row r="24" spans="2:23" ht="14.25" customHeight="1" thickBot="1">
      <c r="B24" s="709" t="str">
        <f aca="true" t="shared" si="5" ref="B24:B29">B56</f>
        <v>взрывозащита,</v>
      </c>
      <c r="G24" s="707" t="s">
        <v>453</v>
      </c>
      <c r="H24" s="699">
        <v>5790</v>
      </c>
      <c r="L24" s="707" t="s">
        <v>453</v>
      </c>
      <c r="M24" s="708">
        <v>5790</v>
      </c>
      <c r="W24" s="985"/>
    </row>
    <row r="25" spans="2:23" ht="14.25" customHeight="1" thickBot="1">
      <c r="B25" s="711" t="str">
        <f t="shared" si="5"/>
        <v>число каналов:</v>
      </c>
      <c r="G25" s="710" t="s">
        <v>454</v>
      </c>
      <c r="H25" s="699">
        <v>6950</v>
      </c>
      <c r="L25" s="710" t="s">
        <v>454</v>
      </c>
      <c r="M25" s="708">
        <v>6950</v>
      </c>
      <c r="W25" s="985"/>
    </row>
    <row r="26" spans="1:23" ht="14.25" customHeight="1" thickBot="1">
      <c r="A26" s="646" t="s">
        <v>451</v>
      </c>
      <c r="B26" s="712">
        <f t="shared" si="5"/>
        <v>1</v>
      </c>
      <c r="C26" s="713">
        <v>3545</v>
      </c>
      <c r="W26" s="630"/>
    </row>
    <row r="27" spans="1:23" ht="14.25" customHeight="1" thickBot="1">
      <c r="A27" s="647" t="s">
        <v>452</v>
      </c>
      <c r="B27" s="712">
        <f t="shared" si="5"/>
        <v>2</v>
      </c>
      <c r="C27" s="715">
        <v>4720</v>
      </c>
      <c r="G27" s="714" t="str">
        <f>CONCATENATE("инфляционная наценка добавлена с ",ПГ!G2)</f>
        <v>инфляционная наценка добавлена с 05.09.2018</v>
      </c>
      <c r="H27" s="649"/>
      <c r="I27" s="649"/>
      <c r="J27" s="650"/>
      <c r="L27" s="714"/>
      <c r="M27" s="649"/>
      <c r="N27" s="649"/>
      <c r="O27" s="650"/>
      <c r="W27" s="985"/>
    </row>
    <row r="28" spans="1:23" ht="14.25" customHeight="1" thickBot="1">
      <c r="A28" s="659" t="s">
        <v>453</v>
      </c>
      <c r="B28" s="712">
        <f t="shared" si="5"/>
        <v>3</v>
      </c>
      <c r="C28" s="715">
        <v>5910</v>
      </c>
      <c r="W28" s="985"/>
    </row>
    <row r="29" spans="1:23" ht="14.25" customHeight="1" thickBot="1">
      <c r="A29" s="659" t="s">
        <v>454</v>
      </c>
      <c r="B29" s="716">
        <f t="shared" si="5"/>
        <v>4</v>
      </c>
      <c r="C29" s="717">
        <v>7090</v>
      </c>
      <c r="G29" s="630" t="s">
        <v>456</v>
      </c>
      <c r="W29" s="985"/>
    </row>
    <row r="30" spans="1:23" ht="14.25" customHeight="1">
      <c r="A30" s="719" t="str">
        <f>A62</f>
        <v>зонд 0.5, 0.75, 1.0 м</v>
      </c>
      <c r="B30" s="672">
        <f>ROUND(B62*$F$2,-1)</f>
        <v>6050</v>
      </c>
      <c r="G30" s="718" t="s">
        <v>457</v>
      </c>
      <c r="W30" s="985"/>
    </row>
    <row r="31" spans="1:23" ht="14.25" customHeight="1">
      <c r="A31" s="630" t="s">
        <v>752</v>
      </c>
      <c r="C31" s="630">
        <v>40</v>
      </c>
      <c r="D31" s="630" t="s">
        <v>753</v>
      </c>
      <c r="G31" s="718" t="s">
        <v>458</v>
      </c>
      <c r="W31" s="985"/>
    </row>
    <row r="32" spans="7:23" ht="14.25" customHeight="1">
      <c r="G32" s="718" t="s">
        <v>459</v>
      </c>
      <c r="W32" s="985"/>
    </row>
    <row r="33" spans="7:23" ht="14.25" customHeight="1">
      <c r="G33" s="718" t="s">
        <v>460</v>
      </c>
      <c r="W33" s="985"/>
    </row>
    <row r="34" ht="14.25" customHeight="1">
      <c r="W34" s="985"/>
    </row>
    <row r="35" ht="14.25" customHeight="1">
      <c r="W35" s="985"/>
    </row>
    <row r="36" ht="14.25" customHeight="1" thickBot="1">
      <c r="W36" s="985"/>
    </row>
    <row r="37" spans="2:23" ht="14.25" customHeight="1" thickBot="1">
      <c r="B37" s="720" t="str">
        <f>CONCATENATE("цена канала на ",$G$2)</f>
        <v>цена канала на 05.09.2018</v>
      </c>
      <c r="C37" s="721"/>
      <c r="D37" s="720" t="str">
        <f>CONCATENATE("цена корпуса на ",$G$2)</f>
        <v>цена корпуса на 05.09.2018</v>
      </c>
      <c r="E37" s="659"/>
      <c r="R37" s="657" t="s">
        <v>309</v>
      </c>
      <c r="S37" s="657" t="s">
        <v>437</v>
      </c>
      <c r="W37" s="985"/>
    </row>
    <row r="38" spans="1:23" ht="14.25" customHeight="1" thickBot="1">
      <c r="A38" s="658" t="s">
        <v>312</v>
      </c>
      <c r="B38" s="672" t="s">
        <v>345</v>
      </c>
      <c r="C38" s="673" t="s">
        <v>307</v>
      </c>
      <c r="D38" s="722" t="s">
        <v>345</v>
      </c>
      <c r="E38" s="673" t="s">
        <v>307</v>
      </c>
      <c r="R38" s="722" t="s">
        <v>471</v>
      </c>
      <c r="W38" s="985"/>
    </row>
    <row r="39" spans="1:24" ht="14.25" customHeight="1">
      <c r="A39" s="733" t="s">
        <v>381</v>
      </c>
      <c r="B39" s="981">
        <v>9851.057999999999</v>
      </c>
      <c r="C39" s="982">
        <v>10559.524500000001</v>
      </c>
      <c r="D39" s="983">
        <v>2552.7285</v>
      </c>
      <c r="E39" s="983">
        <v>2552.7285</v>
      </c>
      <c r="F39" s="723">
        <v>43234</v>
      </c>
      <c r="G39" s="724" t="s">
        <v>511</v>
      </c>
      <c r="Q39" s="630" t="s">
        <v>381</v>
      </c>
      <c r="R39" s="728">
        <f>B39</f>
        <v>9851.057999999999</v>
      </c>
      <c r="S39" s="728">
        <f>D39</f>
        <v>2552.7285</v>
      </c>
      <c r="T39" s="725" t="s">
        <v>520</v>
      </c>
      <c r="W39" s="985"/>
      <c r="X39" s="278" t="s">
        <v>320</v>
      </c>
    </row>
    <row r="40" spans="1:24" ht="14.25" customHeight="1">
      <c r="A40" s="733" t="s">
        <v>322</v>
      </c>
      <c r="B40" s="981">
        <v>8377.897500000001</v>
      </c>
      <c r="C40" s="982">
        <v>8422.879500000001</v>
      </c>
      <c r="D40" s="983">
        <v>2552.7285</v>
      </c>
      <c r="E40" s="983">
        <v>2552.7285</v>
      </c>
      <c r="G40" s="729"/>
      <c r="Q40" s="630" t="s">
        <v>322</v>
      </c>
      <c r="R40" s="728">
        <f>B40</f>
        <v>8377.897500000001</v>
      </c>
      <c r="S40" s="728">
        <f aca="true" t="shared" si="6" ref="S40:S55">D40</f>
        <v>2552.7285</v>
      </c>
      <c r="T40" s="724"/>
      <c r="X40" s="222" t="s">
        <v>323</v>
      </c>
    </row>
    <row r="41" spans="1:24" ht="14.25" customHeight="1" thickBot="1">
      <c r="A41" s="733" t="s">
        <v>282</v>
      </c>
      <c r="B41" s="981">
        <v>8377.897500000001</v>
      </c>
      <c r="C41" s="982">
        <v>8422.879500000001</v>
      </c>
      <c r="D41" s="983">
        <v>2552.7285</v>
      </c>
      <c r="E41" s="983">
        <v>2552.7285</v>
      </c>
      <c r="F41" s="724"/>
      <c r="Q41" s="630" t="s">
        <v>282</v>
      </c>
      <c r="R41" s="728">
        <f>B41</f>
        <v>8377.897500000001</v>
      </c>
      <c r="S41" s="728">
        <f t="shared" si="6"/>
        <v>2552.7285</v>
      </c>
      <c r="X41" s="222" t="s">
        <v>326</v>
      </c>
    </row>
    <row r="42" spans="1:24" ht="14.25" customHeight="1" thickBot="1">
      <c r="A42" s="978" t="s">
        <v>283</v>
      </c>
      <c r="B42" s="981">
        <v>8377.897500000001</v>
      </c>
      <c r="C42" s="982">
        <v>8422.879500000001</v>
      </c>
      <c r="D42" s="983">
        <v>2552.7285</v>
      </c>
      <c r="E42" s="983">
        <v>2552.7285</v>
      </c>
      <c r="F42" s="724"/>
      <c r="Q42" s="630" t="s">
        <v>470</v>
      </c>
      <c r="R42" s="731">
        <f>9030*1.08</f>
        <v>9752.400000000001</v>
      </c>
      <c r="S42" s="731">
        <f>3850*1.05</f>
        <v>4042.5</v>
      </c>
      <c r="X42" s="222" t="s">
        <v>469</v>
      </c>
    </row>
    <row r="43" spans="1:24" ht="14.25" customHeight="1">
      <c r="A43" s="979" t="s">
        <v>284</v>
      </c>
      <c r="B43" s="981">
        <v>8377.897500000001</v>
      </c>
      <c r="C43" s="982">
        <v>8422.879500000001</v>
      </c>
      <c r="D43" s="983">
        <v>2552.7285</v>
      </c>
      <c r="E43" s="983">
        <v>2552.7285</v>
      </c>
      <c r="F43" s="724"/>
      <c r="Q43" s="630" t="s">
        <v>283</v>
      </c>
      <c r="R43" s="728">
        <f>B42</f>
        <v>8377.897500000001</v>
      </c>
      <c r="S43" s="728">
        <f t="shared" si="6"/>
        <v>2552.7285</v>
      </c>
      <c r="T43" s="724"/>
      <c r="X43" s="222" t="s">
        <v>327</v>
      </c>
    </row>
    <row r="44" spans="1:24" ht="14.25" customHeight="1">
      <c r="A44" s="733" t="s">
        <v>455</v>
      </c>
      <c r="B44" s="981">
        <v>22164.880500000003</v>
      </c>
      <c r="C44" s="982">
        <v>22164.880500000003</v>
      </c>
      <c r="D44" s="983">
        <v>2552.7285</v>
      </c>
      <c r="E44" s="983">
        <v>2552.7285</v>
      </c>
      <c r="F44" s="724"/>
      <c r="Q44" s="630" t="s">
        <v>284</v>
      </c>
      <c r="R44" s="728">
        <f>B43</f>
        <v>8377.897500000001</v>
      </c>
      <c r="S44" s="728">
        <f t="shared" si="6"/>
        <v>2552.7285</v>
      </c>
      <c r="X44" s="222" t="s">
        <v>328</v>
      </c>
    </row>
    <row r="45" spans="1:24" ht="14.25" customHeight="1">
      <c r="A45" s="979" t="s">
        <v>373</v>
      </c>
      <c r="B45" s="981">
        <v>22232.3535</v>
      </c>
      <c r="C45" s="982">
        <v>22232.3535</v>
      </c>
      <c r="D45" s="983">
        <v>2384.0460000000003</v>
      </c>
      <c r="E45" s="983">
        <v>2384.0460000000003</v>
      </c>
      <c r="F45" s="724"/>
      <c r="Q45" s="734" t="s">
        <v>455</v>
      </c>
      <c r="R45" s="728">
        <f>B44</f>
        <v>22164.880500000003</v>
      </c>
      <c r="S45" s="728">
        <f t="shared" si="6"/>
        <v>2384.0460000000003</v>
      </c>
      <c r="X45" s="502" t="s">
        <v>36</v>
      </c>
    </row>
    <row r="46" spans="1:24" ht="14.25" customHeight="1">
      <c r="A46" s="733" t="s">
        <v>136</v>
      </c>
      <c r="B46" s="981">
        <v>11447.919000000002</v>
      </c>
      <c r="C46" s="982">
        <v>11447.919000000002</v>
      </c>
      <c r="D46" s="983">
        <v>2552.7285</v>
      </c>
      <c r="E46" s="983">
        <v>2552.7285</v>
      </c>
      <c r="F46" s="724"/>
      <c r="Q46" s="630" t="s">
        <v>136</v>
      </c>
      <c r="R46" s="728">
        <f>B46</f>
        <v>11447.919000000002</v>
      </c>
      <c r="S46" s="728">
        <f t="shared" si="6"/>
        <v>2552.7285</v>
      </c>
      <c r="X46" s="222" t="s">
        <v>136</v>
      </c>
    </row>
    <row r="47" spans="1:24" ht="14.25" customHeight="1">
      <c r="A47" s="733" t="s">
        <v>378</v>
      </c>
      <c r="B47" s="981">
        <v>11447.919000000002</v>
      </c>
      <c r="C47" s="982">
        <v>11447.919000000002</v>
      </c>
      <c r="D47" s="983">
        <v>2552.7285</v>
      </c>
      <c r="E47" s="983">
        <v>2552.7285</v>
      </c>
      <c r="F47" s="724"/>
      <c r="Q47" s="630" t="s">
        <v>378</v>
      </c>
      <c r="R47" s="728">
        <f>B47</f>
        <v>11447.919000000002</v>
      </c>
      <c r="S47" s="728">
        <f t="shared" si="6"/>
        <v>2552.7285</v>
      </c>
      <c r="T47" s="735"/>
      <c r="X47" s="222" t="s">
        <v>330</v>
      </c>
    </row>
    <row r="48" spans="1:24" ht="14.25" customHeight="1" thickBot="1">
      <c r="A48" s="980" t="s">
        <v>263</v>
      </c>
      <c r="B48" s="981">
        <v>11223.009000000002</v>
      </c>
      <c r="C48" s="982">
        <v>11223.009000000002</v>
      </c>
      <c r="D48" s="983">
        <v>2507.7465</v>
      </c>
      <c r="E48" s="983">
        <v>2507.7465</v>
      </c>
      <c r="F48" s="724"/>
      <c r="G48" s="665" t="s">
        <v>117</v>
      </c>
      <c r="H48" s="728">
        <v>24643.5</v>
      </c>
      <c r="I48" s="728">
        <v>24643.5</v>
      </c>
      <c r="J48" s="728">
        <v>2341.5</v>
      </c>
      <c r="K48" s="728">
        <v>2341.5</v>
      </c>
      <c r="Q48" s="630" t="s">
        <v>263</v>
      </c>
      <c r="R48" s="728">
        <f>B48</f>
        <v>11223.009000000002</v>
      </c>
      <c r="S48" s="728">
        <f t="shared" si="6"/>
        <v>2507.7465</v>
      </c>
      <c r="T48" s="724"/>
      <c r="X48" s="222" t="s">
        <v>331</v>
      </c>
    </row>
    <row r="49" spans="1:24" ht="14.25" customHeight="1">
      <c r="A49" s="733" t="s">
        <v>371</v>
      </c>
      <c r="B49" s="981">
        <v>11223.009000000002</v>
      </c>
      <c r="C49" s="982">
        <v>11223.009000000002</v>
      </c>
      <c r="D49" s="983">
        <v>2507.7465</v>
      </c>
      <c r="E49" s="983">
        <v>2507.7465</v>
      </c>
      <c r="G49" s="732" t="s">
        <v>373</v>
      </c>
      <c r="H49" s="726">
        <v>12138</v>
      </c>
      <c r="I49" s="727" t="s">
        <v>449</v>
      </c>
      <c r="J49" s="728">
        <v>2341.5</v>
      </c>
      <c r="K49" s="728" t="s">
        <v>449</v>
      </c>
      <c r="Q49" s="630" t="s">
        <v>371</v>
      </c>
      <c r="R49" s="728">
        <f>B49</f>
        <v>11223.009000000002</v>
      </c>
      <c r="S49" s="728">
        <f t="shared" si="6"/>
        <v>2507.7465</v>
      </c>
      <c r="T49" s="724"/>
      <c r="X49" s="222" t="s">
        <v>333</v>
      </c>
    </row>
    <row r="50" spans="1:24" ht="14.25" customHeight="1">
      <c r="A50" s="733" t="s">
        <v>379</v>
      </c>
      <c r="B50" s="981">
        <v>12460.014000000001</v>
      </c>
      <c r="C50" s="982">
        <v>12460.014000000001</v>
      </c>
      <c r="D50" s="983">
        <v>2260.3455000000004</v>
      </c>
      <c r="E50" s="983">
        <v>2260.3455000000004</v>
      </c>
      <c r="G50" s="665" t="s">
        <v>380</v>
      </c>
      <c r="H50" s="728">
        <v>18007.5</v>
      </c>
      <c r="I50" s="736" t="s">
        <v>449</v>
      </c>
      <c r="J50" s="728">
        <v>2341.5</v>
      </c>
      <c r="K50" s="737" t="s">
        <v>449</v>
      </c>
      <c r="Q50" s="630" t="s">
        <v>379</v>
      </c>
      <c r="R50" s="728">
        <f>B50</f>
        <v>12460.014000000001</v>
      </c>
      <c r="S50" s="728">
        <f t="shared" si="6"/>
        <v>2260.3455000000004</v>
      </c>
      <c r="X50" s="222" t="s">
        <v>334</v>
      </c>
    </row>
    <row r="51" spans="1:24" ht="14.25" customHeight="1">
      <c r="A51" s="733" t="s">
        <v>117</v>
      </c>
      <c r="B51" s="981">
        <v>26393.188500000004</v>
      </c>
      <c r="C51" s="982">
        <v>26393.188500000004</v>
      </c>
      <c r="D51" s="983">
        <v>2507.7465</v>
      </c>
      <c r="E51" s="983">
        <v>2507.7465</v>
      </c>
      <c r="F51" s="724"/>
      <c r="G51" s="665" t="s">
        <v>48</v>
      </c>
      <c r="H51" s="726">
        <v>17850</v>
      </c>
      <c r="I51" s="736">
        <v>17850</v>
      </c>
      <c r="J51" s="728">
        <v>2341.5</v>
      </c>
      <c r="K51" s="737">
        <v>2341.5</v>
      </c>
      <c r="Q51" s="630" t="s">
        <v>380</v>
      </c>
      <c r="R51" s="728">
        <f>B52</f>
        <v>12999.798</v>
      </c>
      <c r="S51" s="728">
        <f t="shared" si="6"/>
        <v>2507.7465</v>
      </c>
      <c r="X51" s="222" t="s">
        <v>335</v>
      </c>
    </row>
    <row r="52" spans="1:24" ht="14.25" customHeight="1">
      <c r="A52" s="733" t="s">
        <v>380</v>
      </c>
      <c r="B52" s="981">
        <v>12999.798</v>
      </c>
      <c r="C52" s="1047" t="s">
        <v>449</v>
      </c>
      <c r="D52" s="983">
        <v>2507.7465</v>
      </c>
      <c r="E52" s="983" t="s">
        <v>449</v>
      </c>
      <c r="G52" s="665" t="s">
        <v>393</v>
      </c>
      <c r="H52" s="984" t="s">
        <v>449</v>
      </c>
      <c r="I52" s="730">
        <v>22911</v>
      </c>
      <c r="J52" s="984" t="s">
        <v>449</v>
      </c>
      <c r="K52" s="728">
        <v>2341.5</v>
      </c>
      <c r="Q52" s="630" t="s">
        <v>48</v>
      </c>
      <c r="R52" s="728">
        <f>B53</f>
        <v>19286.0325</v>
      </c>
      <c r="S52" s="728">
        <f t="shared" si="6"/>
        <v>2507.7465</v>
      </c>
      <c r="X52" s="281" t="s">
        <v>48</v>
      </c>
    </row>
    <row r="53" spans="1:24" ht="14.25" customHeight="1">
      <c r="A53" s="733" t="s">
        <v>48</v>
      </c>
      <c r="B53" s="981">
        <v>19286.0325</v>
      </c>
      <c r="C53" s="1047" t="s">
        <v>449</v>
      </c>
      <c r="D53" s="983">
        <v>2507.7465</v>
      </c>
      <c r="E53" s="983" t="s">
        <v>449</v>
      </c>
      <c r="G53" s="665" t="s">
        <v>374</v>
      </c>
      <c r="H53" s="728">
        <v>21820</v>
      </c>
      <c r="I53" s="730">
        <v>21820</v>
      </c>
      <c r="J53" s="728">
        <v>2341.5</v>
      </c>
      <c r="K53" s="728">
        <v>2341.5</v>
      </c>
      <c r="Q53" s="630" t="s">
        <v>117</v>
      </c>
      <c r="R53" s="728">
        <f>B51</f>
        <v>26393.188500000004</v>
      </c>
      <c r="S53" s="728">
        <f t="shared" si="6"/>
        <v>2507.7465</v>
      </c>
      <c r="X53" s="222" t="s">
        <v>117</v>
      </c>
    </row>
    <row r="54" spans="1:24" ht="14.25" customHeight="1">
      <c r="A54" s="733" t="s">
        <v>393</v>
      </c>
      <c r="B54" s="981">
        <v>19117.35</v>
      </c>
      <c r="C54" s="982">
        <v>19117.35</v>
      </c>
      <c r="D54" s="983">
        <v>2507.7465</v>
      </c>
      <c r="E54" s="983">
        <v>2507.7465</v>
      </c>
      <c r="Q54" s="734" t="s">
        <v>373</v>
      </c>
      <c r="R54" s="728">
        <f>B45</f>
        <v>22232.3535</v>
      </c>
      <c r="S54" s="728">
        <f t="shared" si="6"/>
        <v>2507.7465</v>
      </c>
      <c r="X54" s="734" t="s">
        <v>373</v>
      </c>
    </row>
    <row r="55" spans="1:24" ht="14.25" customHeight="1">
      <c r="A55" s="733" t="s">
        <v>374</v>
      </c>
      <c r="B55" s="981">
        <v>24537.681</v>
      </c>
      <c r="C55" s="982">
        <v>24537.681</v>
      </c>
      <c r="D55" s="983">
        <v>2507.7465</v>
      </c>
      <c r="E55" s="983">
        <v>2507.7465</v>
      </c>
      <c r="Q55" s="629" t="s">
        <v>374</v>
      </c>
      <c r="R55" s="728">
        <v>21820</v>
      </c>
      <c r="S55" s="728">
        <f t="shared" si="6"/>
        <v>2507.7465</v>
      </c>
      <c r="X55" s="629" t="s">
        <v>374</v>
      </c>
    </row>
    <row r="56" ht="14.25" customHeight="1">
      <c r="B56" s="738" t="s">
        <v>461</v>
      </c>
    </row>
    <row r="57" spans="2:7" ht="14.25" customHeight="1" thickBot="1">
      <c r="B57" s="738" t="s">
        <v>462</v>
      </c>
      <c r="D57" s="723"/>
      <c r="F57" s="724"/>
      <c r="G57" s="630"/>
    </row>
    <row r="58" spans="1:18" ht="14.25" customHeight="1" thickBot="1">
      <c r="A58" s="739" t="s">
        <v>451</v>
      </c>
      <c r="B58" s="740">
        <v>1</v>
      </c>
      <c r="C58" s="741"/>
      <c r="D58" s="724"/>
      <c r="R58" s="630" t="s">
        <v>472</v>
      </c>
    </row>
    <row r="59" spans="1:18" ht="14.25" customHeight="1" thickBot="1">
      <c r="A59" s="742" t="s">
        <v>452</v>
      </c>
      <c r="B59" s="740">
        <v>2</v>
      </c>
      <c r="C59" s="743"/>
      <c r="D59" s="724"/>
      <c r="R59" s="630" t="s">
        <v>473</v>
      </c>
    </row>
    <row r="60" spans="1:18" ht="14.25" customHeight="1" thickBot="1">
      <c r="A60" s="744" t="s">
        <v>453</v>
      </c>
      <c r="B60" s="740">
        <v>3</v>
      </c>
      <c r="C60" s="743"/>
      <c r="D60" s="724"/>
      <c r="R60" s="627" t="s">
        <v>519</v>
      </c>
    </row>
    <row r="61" spans="1:4" ht="14.25" customHeight="1" thickBot="1">
      <c r="A61" s="744" t="s">
        <v>454</v>
      </c>
      <c r="B61" s="740">
        <v>4</v>
      </c>
      <c r="C61" s="717"/>
      <c r="D61" s="724"/>
    </row>
    <row r="62" spans="1:25" ht="14.25" customHeight="1">
      <c r="A62" s="687" t="s">
        <v>463</v>
      </c>
      <c r="B62" s="630">
        <v>6050</v>
      </c>
      <c r="N62" s="630"/>
      <c r="O62" s="630"/>
      <c r="P62" s="630"/>
      <c r="Q62" s="630"/>
      <c r="S62" s="629"/>
      <c r="T62" s="629"/>
      <c r="U62" s="629"/>
      <c r="W62" s="630"/>
      <c r="X62" s="630"/>
      <c r="Y62" s="630"/>
    </row>
    <row r="63" spans="14:25" ht="14.25" customHeight="1">
      <c r="N63" s="630"/>
      <c r="O63" s="630"/>
      <c r="P63" s="630"/>
      <c r="Q63" s="630"/>
      <c r="S63" s="629"/>
      <c r="T63" s="629"/>
      <c r="U63" s="629"/>
      <c r="W63" s="630"/>
      <c r="X63" s="630"/>
      <c r="Y63" s="630"/>
    </row>
    <row r="64" spans="14:25" ht="14.25" customHeight="1">
      <c r="N64" s="630"/>
      <c r="O64" s="630"/>
      <c r="P64" s="630"/>
      <c r="Q64" s="630"/>
      <c r="S64" s="629"/>
      <c r="T64" s="629"/>
      <c r="U64" s="629"/>
      <c r="W64" s="630"/>
      <c r="X64" s="630"/>
      <c r="Y64" s="630"/>
    </row>
    <row r="65" spans="14:25" ht="14.25" customHeight="1">
      <c r="N65" s="630"/>
      <c r="O65" s="630"/>
      <c r="P65" s="630"/>
      <c r="Q65" s="630"/>
      <c r="S65" s="629"/>
      <c r="T65" s="629"/>
      <c r="U65" s="629"/>
      <c r="W65" s="630"/>
      <c r="X65" s="630"/>
      <c r="Y65" s="630"/>
    </row>
    <row r="66" spans="14:25" ht="14.25" customHeight="1">
      <c r="N66" s="630"/>
      <c r="O66" s="630"/>
      <c r="P66" s="630"/>
      <c r="Q66" s="630"/>
      <c r="S66" s="629"/>
      <c r="T66" s="629"/>
      <c r="U66" s="629"/>
      <c r="W66" s="630"/>
      <c r="X66" s="630"/>
      <c r="Y66" s="630"/>
    </row>
    <row r="67" spans="14:25" ht="14.25" customHeight="1">
      <c r="N67" s="630"/>
      <c r="O67" s="630"/>
      <c r="P67" s="630"/>
      <c r="Q67" s="630"/>
      <c r="S67" s="629"/>
      <c r="T67" s="629"/>
      <c r="U67" s="629"/>
      <c r="W67" s="630"/>
      <c r="X67" s="630"/>
      <c r="Y67" s="630"/>
    </row>
    <row r="68" spans="14:25" ht="14.25" customHeight="1">
      <c r="N68" s="630"/>
      <c r="O68" s="630"/>
      <c r="P68" s="630"/>
      <c r="Q68" s="630"/>
      <c r="S68" s="629"/>
      <c r="T68" s="629"/>
      <c r="U68" s="629"/>
      <c r="W68" s="630"/>
      <c r="X68" s="630"/>
      <c r="Y68" s="630"/>
    </row>
    <row r="69" spans="14:25" ht="14.25" customHeight="1">
      <c r="N69" s="630"/>
      <c r="O69" s="630"/>
      <c r="P69" s="630"/>
      <c r="Q69" s="630"/>
      <c r="S69" s="629"/>
      <c r="T69" s="629"/>
      <c r="U69" s="629"/>
      <c r="W69" s="630"/>
      <c r="X69" s="630"/>
      <c r="Y69" s="630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V48" sqref="V4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13.875" style="0" customWidth="1"/>
    <col min="2" max="2" width="5.75390625" style="0" customWidth="1"/>
    <col min="3" max="4" width="9.875" style="0" customWidth="1"/>
    <col min="5" max="5" width="8.375" style="0" customWidth="1"/>
    <col min="6" max="6" width="12.00390625" style="0" hidden="1" customWidth="1"/>
    <col min="7" max="7" width="16.00390625" style="0" hidden="1" customWidth="1"/>
    <col min="8" max="8" width="35.875" style="0" customWidth="1"/>
    <col min="9" max="9" width="41.00390625" style="0" customWidth="1"/>
    <col min="10" max="11" width="13.125" style="0" hidden="1" customWidth="1"/>
    <col min="12" max="14" width="16.375" style="0" hidden="1" customWidth="1"/>
    <col min="15" max="15" width="41.00390625" style="0" customWidth="1"/>
    <col min="16" max="16" width="13.25390625" style="0" customWidth="1"/>
    <col min="17" max="17" width="33.375" style="0" customWidth="1"/>
    <col min="18" max="18" width="54.25390625" style="0" customWidth="1"/>
  </cols>
  <sheetData>
    <row r="1" spans="1:18" s="1" customFormat="1" ht="21" customHeight="1" thickBot="1">
      <c r="A1" s="802" t="s">
        <v>597</v>
      </c>
      <c r="B1" s="240"/>
      <c r="C1" s="240"/>
      <c r="D1" s="240"/>
      <c r="E1" s="240"/>
      <c r="F1" s="240"/>
      <c r="G1" s="240"/>
      <c r="H1" s="240"/>
      <c r="I1" s="906" t="s">
        <v>572</v>
      </c>
      <c r="J1" s="240"/>
      <c r="K1" s="240"/>
      <c r="M1" s="239"/>
      <c r="P1" s="1081"/>
      <c r="Q1" s="1082"/>
      <c r="R1" s="1082"/>
    </row>
    <row r="2" spans="1:18" s="1" customFormat="1" ht="26.25" customHeight="1">
      <c r="A2" s="242" t="s">
        <v>596</v>
      </c>
      <c r="B2" s="240"/>
      <c r="F2" s="578"/>
      <c r="G2" s="578"/>
      <c r="H2" s="579"/>
      <c r="I2" s="905" t="s">
        <v>307</v>
      </c>
      <c r="J2" s="240"/>
      <c r="K2" s="240"/>
      <c r="L2" s="240"/>
      <c r="M2" s="239"/>
      <c r="P2" s="1082"/>
      <c r="Q2" s="1082"/>
      <c r="R2" s="1082"/>
    </row>
    <row r="3" spans="1:18" s="1" customFormat="1" ht="12" customHeight="1">
      <c r="A3" s="577" t="s">
        <v>928</v>
      </c>
      <c r="B3" s="240"/>
      <c r="F3" s="578"/>
      <c r="G3" s="578"/>
      <c r="H3" s="579"/>
      <c r="I3" s="536" t="s">
        <v>577</v>
      </c>
      <c r="J3" s="240"/>
      <c r="K3" s="240"/>
      <c r="L3" s="240"/>
      <c r="M3" s="239"/>
      <c r="P3" s="1082"/>
      <c r="Q3" s="1082"/>
      <c r="R3" s="1082"/>
    </row>
    <row r="4" spans="1:18" ht="6.75" customHeight="1" thickBot="1">
      <c r="A4" s="199" t="s">
        <v>305</v>
      </c>
      <c r="B4" s="199"/>
      <c r="C4" s="199"/>
      <c r="D4" s="199"/>
      <c r="E4" s="199"/>
      <c r="F4" s="199"/>
      <c r="G4" s="199"/>
      <c r="H4" s="201"/>
      <c r="I4" s="201"/>
      <c r="J4" s="201"/>
      <c r="K4" s="201"/>
      <c r="L4" s="201"/>
      <c r="M4" s="198"/>
      <c r="P4" s="1082"/>
      <c r="Q4" s="1082"/>
      <c r="R4" s="1082"/>
    </row>
    <row r="5" spans="1:15" s="1" customFormat="1" ht="26.25" customHeight="1" thickBot="1">
      <c r="A5" s="202"/>
      <c r="B5" s="203"/>
      <c r="C5" s="203" t="s">
        <v>306</v>
      </c>
      <c r="D5" s="205" t="str">
        <f>IF(I2="","",I2)</f>
        <v>Хоббит-Т</v>
      </c>
      <c r="E5" s="204" t="s">
        <v>298</v>
      </c>
      <c r="F5" s="1090" t="str">
        <f>IF(P8=1,"КНС или мороз","нет")</f>
        <v>нет</v>
      </c>
      <c r="G5" s="1092" t="str">
        <f>IF(AND(P7=1,C26&gt;1),"ГИРЛЯНДА","звезда")</f>
        <v>звезда</v>
      </c>
      <c r="H5" s="570" t="s">
        <v>314</v>
      </c>
      <c r="I5" s="571" t="str">
        <f>CONCATENATE("ВВОДА колич. каналов для ",I$2,IF(C23+C24&gt;0,"индикатора",""))</f>
        <v>ВВОДА колич. каналов для Хоббит-Т</v>
      </c>
      <c r="J5" s="206" t="s">
        <v>308</v>
      </c>
      <c r="K5" s="207" t="s">
        <v>343</v>
      </c>
      <c r="L5" s="208"/>
      <c r="M5" s="209" t="str">
        <f>IF(P7=1,"ГИРЛЯНДА","звезда")</f>
        <v>звезда</v>
      </c>
      <c r="N5" s="790" t="str">
        <f>IF(P6=1,"все взрывозащ.",IF(SUM(E7:E24)&gt;0,"есть взрывозащ. каналы","не взрывозащ."))</f>
        <v>не взрывозащ.</v>
      </c>
      <c r="O5" s="951">
        <f>IF(AND(OR(E8&gt;0,P6=1),C8&gt;0),"каналы водорода пока выпускаются без взрывозащиты","")</f>
      </c>
    </row>
    <row r="6" spans="1:16" s="1" customFormat="1" ht="34.5" customHeight="1" thickBot="1">
      <c r="A6" s="581"/>
      <c r="B6" s="582" t="s">
        <v>312</v>
      </c>
      <c r="C6" s="583" t="s">
        <v>298</v>
      </c>
      <c r="D6" s="584" t="s">
        <v>299</v>
      </c>
      <c r="E6" s="204" t="s">
        <v>313</v>
      </c>
      <c r="F6" s="1091"/>
      <c r="G6" s="1093"/>
      <c r="H6" s="944" t="s">
        <v>615</v>
      </c>
      <c r="I6" s="883">
        <f>сообщения!$A$3</f>
      </c>
      <c r="J6" s="788" t="s">
        <v>315</v>
      </c>
      <c r="K6" s="789" t="s">
        <v>316</v>
      </c>
      <c r="L6" s="792" t="s">
        <v>317</v>
      </c>
      <c r="M6" s="792" t="s">
        <v>298</v>
      </c>
      <c r="N6" s="792" t="s">
        <v>318</v>
      </c>
      <c r="O6" s="592" t="s">
        <v>859</v>
      </c>
      <c r="P6" s="803"/>
    </row>
    <row r="7" spans="1:16" s="1" customFormat="1" ht="42" customHeight="1" thickBot="1">
      <c r="A7" s="581"/>
      <c r="B7" s="586" t="s">
        <v>320</v>
      </c>
      <c r="C7" s="230"/>
      <c r="D7" s="217"/>
      <c r="E7" s="532"/>
      <c r="F7" s="808" t="s">
        <v>625</v>
      </c>
      <c r="H7" s="945" t="s">
        <v>541</v>
      </c>
      <c r="I7" s="842" t="str">
        <f>сообщения!$A$13</f>
        <v>Укажите количества каналов измерения выбранных газов </v>
      </c>
      <c r="J7" s="567">
        <f>IF(AND(C7&gt;0,SUM(C$7:C$24)&lt;17),IF(OR(D7=1,D7=2,D7=3),D7,IF(AND(D7="",NOT(P$8=1)),IF(I$2=сообщения!I$2,VLOOKUP(B7,СГИ!$A$8:$G$27,7,TRUE),1),1)),"")</f>
      </c>
      <c r="K7" s="572">
        <f aca="true" t="shared" si="0" ref="K7:K24">IF(C7&gt;0,B7,"")</f>
      </c>
      <c r="L7" s="805">
        <f>CONCATENATE(IF($C7-E7&gt;1,CONCATENATE("-",$C7-E7,$K7),IF($C7-E7=1,CONCATENATE("-",$K7),"")),IF(E7&gt;1,CONCATENATE("-",E7,$K7,IF(P$6="","/53:Ex","")),IF(E7=1,CONCATENATE("-",$K7,IF(P$6="","/53:Ex","")),"")))</f>
      </c>
      <c r="M7" s="806">
        <f aca="true" t="shared" si="1" ref="M7:M24">IF(K7="",0,C7)</f>
        <v>0</v>
      </c>
      <c r="N7" s="793">
        <f>IF(OR(E7&gt;C7,E7&lt;0,AND(NOT(P$6=""),NOT(P$6=1))),"ошибка",IF(P$6=1,C7,E7))</f>
        <v>0</v>
      </c>
      <c r="O7" s="890" t="s">
        <v>858</v>
      </c>
      <c r="P7" s="235"/>
    </row>
    <row r="8" spans="1:17" s="1" customFormat="1" ht="37.5" customHeight="1" thickBot="1">
      <c r="A8" s="581"/>
      <c r="B8" s="231" t="s">
        <v>323</v>
      </c>
      <c r="C8" s="232"/>
      <c r="D8" s="221"/>
      <c r="E8" s="225"/>
      <c r="F8" s="808" t="s">
        <v>625</v>
      </c>
      <c r="H8" s="945" t="s">
        <v>325</v>
      </c>
      <c r="I8" s="967" t="str">
        <f>сообщения!$E$3</f>
        <v>взрывозащита НЕ предусмотрена</v>
      </c>
      <c r="J8" s="568">
        <f>IF(AND(C8&gt;0,SUM(C$7:C$24)&lt;17),IF(OR(D8=1,D8=2,D8=3),D8,IF(AND(D8="",NOT(P$8=1)),IF(I$2=сообщения!I$2,VLOOKUP(B8,СГИ!$A$8:$G$27,7,TRUE),1),1)),"")</f>
      </c>
      <c r="K8" s="594">
        <f t="shared" si="0"/>
      </c>
      <c r="L8" s="595">
        <f aca="true" t="shared" si="2" ref="L8:L24">CONCATENATE(IF($C8-E8&gt;1,CONCATENATE("-",$C8-E8,$K8),IF($C8-E8=1,CONCATENATE("-",$K8),"")),IF(E8&gt;1,CONCATENATE("-",E8,$K8,IF(P$6="","/53:Ex","")),IF(E8=1,CONCATENATE("-",$K8,IF(P$6="","/53:Ex","")),"")))</f>
      </c>
      <c r="M8" s="596">
        <f t="shared" si="1"/>
        <v>0</v>
      </c>
      <c r="N8" s="794">
        <f aca="true" t="shared" si="3" ref="N8:N24">IF(OR(E8&gt;C8,E8&lt;0,AND(NOT(P$6=""),NOT(P$6=1))),"ошибка",IF(P$6=1,C8,E8))</f>
        <v>0</v>
      </c>
      <c r="O8" s="930" t="s">
        <v>870</v>
      </c>
      <c r="P8" s="931"/>
      <c r="Q8" s="1046"/>
    </row>
    <row r="9" spans="1:16" s="1" customFormat="1" ht="32.25" customHeight="1" thickBot="1">
      <c r="A9" s="581"/>
      <c r="B9" s="554" t="s">
        <v>524</v>
      </c>
      <c r="C9" s="555"/>
      <c r="D9" s="555"/>
      <c r="E9" s="555"/>
      <c r="F9" s="809"/>
      <c r="G9" s="588"/>
      <c r="H9" s="945" t="s">
        <v>541</v>
      </c>
      <c r="I9" s="907" t="str">
        <f>сообщения!$E$13</f>
        <v>(укажите взрывозащищённые каналы, если необходимо)</v>
      </c>
      <c r="J9" s="569">
        <f>IF(AND(C9&gt;0,SUM(C$7:C$24)&lt;17),IF(OR(D9=1,D9=2,D9=3),D9,IF(AND(D9="",NOT(P$8=1)),IF(I$2=сообщения!I$2,VLOOKUP(B9,СГИ!$A$8:$G$27,7,TRUE),1),1)),"")</f>
      </c>
      <c r="K9" s="594">
        <f t="shared" si="0"/>
      </c>
      <c r="L9" s="595">
        <f t="shared" si="2"/>
      </c>
      <c r="M9" s="596">
        <f t="shared" si="1"/>
        <v>0</v>
      </c>
      <c r="N9" s="795">
        <f t="shared" si="3"/>
        <v>0</v>
      </c>
      <c r="O9" s="949" t="s">
        <v>869</v>
      </c>
      <c r="P9" s="950"/>
    </row>
    <row r="10" spans="1:16" s="1" customFormat="1" ht="30" customHeight="1" thickBot="1">
      <c r="A10" s="581"/>
      <c r="B10" s="222" t="s">
        <v>326</v>
      </c>
      <c r="C10" s="232"/>
      <c r="D10" s="221"/>
      <c r="E10" s="221"/>
      <c r="F10" s="808" t="s">
        <v>625</v>
      </c>
      <c r="H10" s="516" t="s">
        <v>626</v>
      </c>
      <c r="I10" s="946" t="str">
        <f>IF(OR(I$6=сообщения!$I$12,I$6=""),"--",IF(P$10="",IF(C$26&gt;0,ROUNDUP((2+SUMPRODUCT(C$7:C$24,J$7:J$24))/10,0),"--"),IF(OR(C26&gt;4,P12=1,C29&gt;0),P10,IF(P10=0,1,P$10))))</f>
        <v>--</v>
      </c>
      <c r="J10" s="594">
        <f>IF(AND(C10&gt;0,SUM(C$7:C$24)&lt;17),IF(OR(D10=1,D10=2,D10=3),D10,IF(AND(D10="",NOT(P$8=1)),IF(I$2=сообщения!I$2,VLOOKUP(B10,СГИ!$A$8:$G$27,7,TRUE),1),1)),"")</f>
      </c>
      <c r="K10" s="594">
        <f t="shared" si="0"/>
      </c>
      <c r="L10" s="595">
        <f t="shared" si="2"/>
      </c>
      <c r="M10" s="596">
        <f t="shared" si="1"/>
        <v>0</v>
      </c>
      <c r="N10" s="795">
        <f t="shared" si="3"/>
        <v>0</v>
      </c>
      <c r="O10" s="933" t="s">
        <v>860</v>
      </c>
      <c r="P10" s="934"/>
    </row>
    <row r="11" spans="1:14" s="1" customFormat="1" ht="27.75" customHeight="1" thickBot="1">
      <c r="A11" s="581"/>
      <c r="B11" s="222" t="s">
        <v>327</v>
      </c>
      <c r="C11" s="232"/>
      <c r="D11" s="221"/>
      <c r="E11" s="221"/>
      <c r="F11" s="808" t="s">
        <v>625</v>
      </c>
      <c r="H11" s="553"/>
      <c r="I11" s="565" t="str">
        <f>сообщения!C23</f>
        <v>ЦЕНЫ без взрывозащиты</v>
      </c>
      <c r="J11" s="568">
        <f>IF(AND(C11&gt;0,SUM(C$7:C$24)&lt;17),IF(OR(D11=1,D11=2,D11=3),D11,IF(AND(D11="",NOT(P$8=1)),IF(I$2=сообщения!I$2,VLOOKUP(B11,СГИ!$A$8:$G$27,7,TRUE),1),1)),"")</f>
      </c>
      <c r="K11" s="594">
        <f t="shared" si="0"/>
      </c>
      <c r="L11" s="595">
        <f t="shared" si="2"/>
      </c>
      <c r="M11" s="596">
        <f t="shared" si="1"/>
        <v>0</v>
      </c>
      <c r="N11" s="795">
        <f t="shared" si="3"/>
        <v>0</v>
      </c>
    </row>
    <row r="12" spans="1:16" s="1" customFormat="1" ht="35.25" customHeight="1" thickBot="1">
      <c r="A12" s="581"/>
      <c r="B12" s="223" t="s">
        <v>328</v>
      </c>
      <c r="C12" s="232"/>
      <c r="D12" s="221"/>
      <c r="E12" s="221"/>
      <c r="F12" s="808" t="s">
        <v>625</v>
      </c>
      <c r="H12" s="516" t="s">
        <v>329</v>
      </c>
      <c r="I12" s="564" t="str">
        <f>IF(OR(I6="",I6=сообщения!I12),"--",IF(AND(OR($P$7=1,$P$8=1,$P$13=1),SUM(N7:N24)&gt;0),"--",ROUND(сообщения!L$20,-1))+IF(I10="--","--",сообщения!L21))</f>
        <v>--</v>
      </c>
      <c r="J12" s="568">
        <f>IF(AND(C12&gt;0,SUM(C$7:C$24)&lt;17),IF(OR(D12=1,D12=2,D12=3),D12,IF(AND(D12="",NOT(P$8=1)),IF(I$2=сообщения!I$2,VLOOKUP(B12,СГИ!$A$8:$G$27,7,TRUE),1),1)),"")</f>
      </c>
      <c r="K12" s="594">
        <f t="shared" si="0"/>
      </c>
      <c r="L12" s="595">
        <f t="shared" si="2"/>
      </c>
      <c r="M12" s="596">
        <f t="shared" si="1"/>
        <v>0</v>
      </c>
      <c r="N12" s="795">
        <f t="shared" si="3"/>
        <v>0</v>
      </c>
      <c r="O12" s="889" t="s">
        <v>606</v>
      </c>
      <c r="P12" s="932"/>
    </row>
    <row r="13" spans="1:16" s="1" customFormat="1" ht="33" customHeight="1" thickBot="1">
      <c r="A13" s="591" t="s">
        <v>570</v>
      </c>
      <c r="B13" s="220" t="s">
        <v>592</v>
      </c>
      <c r="C13" s="232"/>
      <c r="D13" s="221"/>
      <c r="E13" s="221"/>
      <c r="F13" s="808" t="s">
        <v>625</v>
      </c>
      <c r="H13" s="517" t="str">
        <f>CONCATENATE("НДС ",100*СГИ!$B$1,"%")</f>
        <v>НДС 20%</v>
      </c>
      <c r="I13" s="566" t="str">
        <f>IF(OR(I12="--",I12=0),"--",I12*СГИ!$B$1)</f>
        <v>--</v>
      </c>
      <c r="J13" s="597">
        <f>IF(AND(C13&gt;0,SUM(C$7:C$24)&lt;17),IF(OR(D13=1,D13=2,D13=3),D13,IF(AND(D13="",NOT(P$8=1)),IF(I$2=сообщения!I$2,VLOOKUP(B13,СГИ!$A$8:$G$27,7,TRUE),1),1)),"")</f>
      </c>
      <c r="K13" s="598">
        <f t="shared" si="0"/>
      </c>
      <c r="L13" s="597">
        <f t="shared" si="2"/>
      </c>
      <c r="M13" s="598">
        <f t="shared" si="1"/>
        <v>0</v>
      </c>
      <c r="N13" s="795">
        <f t="shared" si="3"/>
        <v>0</v>
      </c>
      <c r="O13" s="919"/>
      <c r="P13" s="920"/>
    </row>
    <row r="14" spans="1:16" s="1" customFormat="1" ht="31.5" customHeight="1" thickBot="1">
      <c r="A14" s="581"/>
      <c r="B14" s="231" t="s">
        <v>336</v>
      </c>
      <c r="C14" s="232"/>
      <c r="D14" s="221"/>
      <c r="E14" s="531"/>
      <c r="F14" s="808" t="s">
        <v>625</v>
      </c>
      <c r="H14" s="912" t="s">
        <v>332</v>
      </c>
      <c r="I14" s="913" t="str">
        <f>IF(OR(I12="--",I12=0),"--",SUM(I12:I13))</f>
        <v>--</v>
      </c>
      <c r="J14" s="568">
        <f>IF(AND(C14&gt;0,SUM(C$7:C$24)&lt;17),IF(OR(D14=1,D14=2,D14=3),D14,IF(AND(D14="",NOT(P$8=1)),IF(I$2=сообщения!I$2,VLOOKUP(B14,СГИ!$A$8:$G$27,7,TRUE),1),1)),"")</f>
      </c>
      <c r="K14" s="594">
        <f t="shared" si="0"/>
      </c>
      <c r="L14" s="595">
        <f t="shared" si="2"/>
      </c>
      <c r="M14" s="596">
        <f t="shared" si="1"/>
        <v>0</v>
      </c>
      <c r="N14" s="795">
        <f t="shared" si="3"/>
        <v>0</v>
      </c>
      <c r="O14" s="889" t="s">
        <v>779</v>
      </c>
      <c r="P14" s="932"/>
    </row>
    <row r="15" spans="1:16" s="1" customFormat="1" ht="31.5" customHeight="1" thickBot="1">
      <c r="A15" s="581"/>
      <c r="B15" s="231" t="s">
        <v>136</v>
      </c>
      <c r="C15" s="232"/>
      <c r="D15" s="221"/>
      <c r="E15" s="531"/>
      <c r="F15" s="808" t="s">
        <v>625</v>
      </c>
      <c r="H15" s="1094" t="s">
        <v>776</v>
      </c>
      <c r="I15" s="1095"/>
      <c r="J15" s="594">
        <f>IF(AND(C15&gt;0,SUM(C$7:C$24)&lt;17),IF(OR(D15=1,D15=2,D15=3),D15,IF(AND(D15="",NOT(P$8=1)),IF(I$2=сообщения!I$2,VLOOKUP(B15,СГИ!$A$8:$G$27,7,TRUE),1),1)),"")</f>
      </c>
      <c r="K15" s="594">
        <f t="shared" si="0"/>
      </c>
      <c r="L15" s="595">
        <f t="shared" si="2"/>
      </c>
      <c r="M15" s="596">
        <f t="shared" si="1"/>
        <v>0</v>
      </c>
      <c r="N15" s="795">
        <f t="shared" si="3"/>
        <v>0</v>
      </c>
      <c r="O15" s="889" t="s">
        <v>745</v>
      </c>
      <c r="P15" s="932"/>
    </row>
    <row r="16" spans="1:14" s="1" customFormat="1" ht="16.5" customHeight="1">
      <c r="A16" s="590"/>
      <c r="B16" s="231" t="s">
        <v>330</v>
      </c>
      <c r="C16" s="232"/>
      <c r="D16" s="221"/>
      <c r="E16" s="531"/>
      <c r="F16" s="808" t="s">
        <v>625</v>
      </c>
      <c r="H16" s="1096"/>
      <c r="I16" s="1097"/>
      <c r="J16" s="594">
        <f>IF(AND(C16&gt;0,SUM(C$7:C$24)&lt;17),IF(OR(D16=1,D16=2,D16=3),D16,IF(AND(D16="",NOT(P$8=1)),IF(I$2=сообщения!I$2,VLOOKUP(B16,СГИ!$A$8:$G$27,7,TRUE),1),1)),"")</f>
      </c>
      <c r="K16" s="594">
        <f t="shared" si="0"/>
      </c>
      <c r="L16" s="595">
        <f t="shared" si="2"/>
      </c>
      <c r="M16" s="596">
        <f t="shared" si="1"/>
        <v>0</v>
      </c>
      <c r="N16" s="795">
        <f t="shared" si="3"/>
        <v>0</v>
      </c>
    </row>
    <row r="17" spans="1:15" s="1" customFormat="1" ht="12.75" customHeight="1">
      <c r="A17" s="590"/>
      <c r="B17" s="231" t="s">
        <v>331</v>
      </c>
      <c r="C17" s="232"/>
      <c r="D17" s="221"/>
      <c r="E17" s="531"/>
      <c r="F17" s="808" t="s">
        <v>625</v>
      </c>
      <c r="H17" s="1096"/>
      <c r="I17" s="1097"/>
      <c r="J17" s="910">
        <f>IF(AND(C17&gt;0,SUM(C$7:C$24)&lt;17),IF(OR(D17=1,D17=2,D17=3),D17,IF(AND(D17="",NOT(P$8=1)),IF(I$2=сообщения!I$2,VLOOKUP(B17,СГИ!$A$8:$G$27,7,TRUE),1),1)),"")</f>
      </c>
      <c r="K17" s="596">
        <f t="shared" si="0"/>
      </c>
      <c r="L17" s="595">
        <f t="shared" si="2"/>
      </c>
      <c r="M17" s="596">
        <f t="shared" si="1"/>
        <v>0</v>
      </c>
      <c r="N17" s="795">
        <f t="shared" si="3"/>
        <v>0</v>
      </c>
      <c r="O17" s="804"/>
    </row>
    <row r="18" spans="1:15" s="1" customFormat="1" ht="12.75" customHeight="1">
      <c r="A18" s="590"/>
      <c r="B18" s="231" t="s">
        <v>333</v>
      </c>
      <c r="C18" s="232"/>
      <c r="D18" s="221"/>
      <c r="E18" s="531"/>
      <c r="F18" s="808" t="s">
        <v>625</v>
      </c>
      <c r="H18" s="1096"/>
      <c r="I18" s="1097"/>
      <c r="J18" s="910">
        <f>IF(AND(C18&gt;0,SUM(C$7:C$24)&lt;17),IF(OR(D18=1,D18=2,D18=3),D18,IF(AND(D18="",NOT(P$8=1)),IF(I$2=сообщения!I$2,VLOOKUP(B18,СГИ!$A$8:$G$27,7,TRUE),1),1)),"")</f>
      </c>
      <c r="K18" s="596">
        <f t="shared" si="0"/>
      </c>
      <c r="L18" s="595">
        <f t="shared" si="2"/>
      </c>
      <c r="M18" s="596">
        <f t="shared" si="1"/>
        <v>0</v>
      </c>
      <c r="N18" s="795">
        <f t="shared" si="3"/>
        <v>0</v>
      </c>
      <c r="O18" s="804"/>
    </row>
    <row r="19" spans="1:15" s="1" customFormat="1" ht="12.75" customHeight="1">
      <c r="A19" s="590"/>
      <c r="B19" s="231" t="s">
        <v>334</v>
      </c>
      <c r="C19" s="232"/>
      <c r="D19" s="221"/>
      <c r="E19" s="531"/>
      <c r="F19" s="808" t="s">
        <v>625</v>
      </c>
      <c r="H19" s="1096"/>
      <c r="I19" s="1097"/>
      <c r="J19" s="910">
        <f>IF(AND(C19&gt;0,SUM(C$7:C$24)&lt;17),IF(OR(D19=1,D19=2,D19=3),D19,IF(AND(D19="",NOT(P$8=1)),IF(I$2=сообщения!I$2,VLOOKUP(B19,СГИ!$A$8:$G$27,7,TRUE),1),1)),"")</f>
      </c>
      <c r="K19" s="596">
        <f t="shared" si="0"/>
      </c>
      <c r="L19" s="595">
        <f t="shared" si="2"/>
      </c>
      <c r="M19" s="596">
        <f t="shared" si="1"/>
        <v>0</v>
      </c>
      <c r="N19" s="795">
        <f t="shared" si="3"/>
        <v>0</v>
      </c>
      <c r="O19" s="804"/>
    </row>
    <row r="20" spans="1:15" s="1" customFormat="1" ht="12.75" customHeight="1">
      <c r="A20" s="590"/>
      <c r="B20" s="231" t="s">
        <v>117</v>
      </c>
      <c r="C20" s="232"/>
      <c r="D20" s="221"/>
      <c r="E20" s="531"/>
      <c r="F20" s="808" t="s">
        <v>625</v>
      </c>
      <c r="H20" s="1096"/>
      <c r="I20" s="1097"/>
      <c r="J20" s="910">
        <f>IF(AND(C20&gt;0,SUM(C$7:C$24)&lt;17),IF(OR(D20=1,D20=2,D20=3),D20,IF(AND(D20="",NOT(P$8=1)),IF(I$2=сообщения!I$2,VLOOKUP(B20,СГИ!$A$8:$G$27,7,TRUE),1),1)),"")</f>
      </c>
      <c r="K20" s="596">
        <f t="shared" si="0"/>
      </c>
      <c r="L20" s="595">
        <f t="shared" si="2"/>
      </c>
      <c r="M20" s="596">
        <f t="shared" si="1"/>
        <v>0</v>
      </c>
      <c r="N20" s="795">
        <f t="shared" si="3"/>
        <v>0</v>
      </c>
      <c r="O20" s="804"/>
    </row>
    <row r="21" spans="1:14" s="1" customFormat="1" ht="15.75" customHeight="1">
      <c r="A21" s="591" t="s">
        <v>570</v>
      </c>
      <c r="B21" s="231" t="s">
        <v>335</v>
      </c>
      <c r="C21" s="232"/>
      <c r="D21" s="221"/>
      <c r="E21" s="531"/>
      <c r="F21" s="808" t="s">
        <v>625</v>
      </c>
      <c r="H21" s="1096"/>
      <c r="I21" s="1097"/>
      <c r="J21" s="911">
        <f>IF(AND(C21&gt;0,SUM(C$7:C$24)&lt;17),IF(OR(D21=1,D21=2,D21=3),D21,IF(AND(D21="",NOT(P$8=1)),IF(I$2=сообщения!I$2,VLOOKUP(B21,СГИ!$A$8:$G$27,7,TRUE),1),1)),"")</f>
      </c>
      <c r="K21" s="598">
        <f t="shared" si="0"/>
      </c>
      <c r="L21" s="597">
        <f t="shared" si="2"/>
      </c>
      <c r="M21" s="598">
        <f t="shared" si="1"/>
        <v>0</v>
      </c>
      <c r="N21" s="795">
        <f t="shared" si="3"/>
        <v>0</v>
      </c>
    </row>
    <row r="22" spans="1:14" s="1" customFormat="1" ht="17.25" customHeight="1" thickBot="1">
      <c r="A22" s="591" t="s">
        <v>570</v>
      </c>
      <c r="B22" s="231" t="s">
        <v>48</v>
      </c>
      <c r="C22" s="232"/>
      <c r="D22" s="221"/>
      <c r="E22" s="531"/>
      <c r="F22" s="808" t="s">
        <v>625</v>
      </c>
      <c r="H22" s="1098"/>
      <c r="I22" s="1099"/>
      <c r="J22" s="911">
        <f>IF(AND(C22&gt;0,SUM(C$7:C$24)&lt;17),IF(OR(D22=1,D22=2,D22=3),D22,IF(AND(D22="",NOT(P$8=1)),IF(I$2=сообщения!I$2,VLOOKUP(B22,СГИ!$A$8:$G$27,7,TRUE),1),1)),"")</f>
      </c>
      <c r="K22" s="598">
        <f t="shared" si="0"/>
      </c>
      <c r="L22" s="597">
        <f t="shared" si="2"/>
      </c>
      <c r="M22" s="598">
        <f t="shared" si="1"/>
        <v>0</v>
      </c>
      <c r="N22" s="795">
        <f t="shared" si="3"/>
        <v>0</v>
      </c>
    </row>
    <row r="23" spans="1:14" s="1" customFormat="1" ht="23.25" customHeight="1">
      <c r="A23" s="591" t="s">
        <v>569</v>
      </c>
      <c r="B23" s="593" t="s">
        <v>574</v>
      </c>
      <c r="C23" s="226"/>
      <c r="D23" s="226"/>
      <c r="E23" s="226"/>
      <c r="F23" s="810"/>
      <c r="G23" s="283"/>
      <c r="H23" s="1" t="s">
        <v>305</v>
      </c>
      <c r="J23" s="595">
        <f>IF(AND(C23&gt;0,SUM(C$7:C$24)&lt;17),IF(OR(D23=1,D23=2,D23=3),D23,IF(AND(D23="",NOT(P$8=1)),IF(I$2=сообщения!I$2,VLOOKUP(B23,СГИ!$A$8:$G$27,7,TRUE),1),1)),"")</f>
      </c>
      <c r="K23" s="596">
        <f t="shared" si="0"/>
      </c>
      <c r="L23" s="595">
        <f t="shared" si="2"/>
      </c>
      <c r="M23" s="596">
        <f t="shared" si="1"/>
        <v>0</v>
      </c>
      <c r="N23" s="795">
        <f t="shared" si="3"/>
        <v>0</v>
      </c>
    </row>
    <row r="24" spans="1:14" s="1" customFormat="1" ht="20.25" customHeight="1" thickBot="1">
      <c r="A24" s="591" t="s">
        <v>569</v>
      </c>
      <c r="B24" s="554" t="s">
        <v>468</v>
      </c>
      <c r="C24" s="797"/>
      <c r="D24" s="226"/>
      <c r="E24" s="226"/>
      <c r="F24" s="810"/>
      <c r="G24" s="283"/>
      <c r="H24" s="1" t="s">
        <v>305</v>
      </c>
      <c r="J24" s="599">
        <f>IF(AND(C24&gt;0,SUM(C$7:C$24)&lt;17),IF(OR(D24=1,D24=2,D24=3),D24,IF(AND(D24="",NOT(P$8=1)),IF(I$2=сообщения!I$2,VLOOKUP(B24,СГИ!$A$8:$G$27,7,TRUE),1),1)),"")</f>
      </c>
      <c r="K24" s="600">
        <f t="shared" si="0"/>
      </c>
      <c r="L24" s="599">
        <f t="shared" si="2"/>
      </c>
      <c r="M24" s="600">
        <f t="shared" si="1"/>
        <v>0</v>
      </c>
      <c r="N24" s="796">
        <f t="shared" si="3"/>
        <v>0</v>
      </c>
    </row>
    <row r="25" spans="1:10" s="1" customFormat="1" ht="21.75" customHeight="1" hidden="1" thickBot="1">
      <c r="A25" s="1085" t="s">
        <v>337</v>
      </c>
      <c r="B25" s="1086"/>
      <c r="C25" s="799">
        <f>DCOUNTA($C6:$C24,$C6,$D25:$D26)</f>
        <v>0</v>
      </c>
      <c r="D25" s="601" t="s">
        <v>298</v>
      </c>
      <c r="I25" s="812"/>
      <c r="J25" s="507"/>
    </row>
    <row r="26" spans="1:10" s="1" customFormat="1" ht="21.75" customHeight="1" hidden="1" thickBot="1">
      <c r="A26" s="1085" t="s">
        <v>341</v>
      </c>
      <c r="B26" s="1087"/>
      <c r="C26" s="798">
        <f>SUM(M7:M24)</f>
        <v>0</v>
      </c>
      <c r="D26" s="602"/>
      <c r="F26" s="1" t="s">
        <v>305</v>
      </c>
      <c r="J26" s="814" t="str">
        <f>сообщения!AM1</f>
        <v>Пояснения к коду стационарного газоанализатора</v>
      </c>
    </row>
    <row r="27" spans="1:10" s="1" customFormat="1" ht="21.75" customHeight="1" hidden="1" thickBot="1">
      <c r="A27" s="1088" t="s">
        <v>595</v>
      </c>
      <c r="B27" s="1087"/>
      <c r="C27" s="800">
        <f>SUM(M8:M12)</f>
        <v>0</v>
      </c>
      <c r="J27" s="814" t="str">
        <f>сообщения!AM2</f>
        <v> – стационарный в металлическом корпусе</v>
      </c>
    </row>
    <row r="28" spans="1:10" s="1" customFormat="1" ht="21.75" customHeight="1" hidden="1" thickBot="1">
      <c r="A28" s="1089" t="s">
        <v>340</v>
      </c>
      <c r="B28" s="1087"/>
      <c r="C28" s="801">
        <f>SUM(M14:M24)</f>
        <v>0</v>
      </c>
      <c r="J28" s="814" t="str">
        <f>сообщения!AM3</f>
        <v> – стационарный в пластиковом корпусе с креплением на дин-рейку</v>
      </c>
    </row>
    <row r="29" spans="1:10" s="1" customFormat="1" ht="21.75" customHeight="1" hidden="1" thickBot="1">
      <c r="A29" s="1083" t="s">
        <v>542</v>
      </c>
      <c r="B29" s="1084"/>
      <c r="C29" s="791">
        <f>SUM(N7:N24)</f>
        <v>0</v>
      </c>
      <c r="J29" s="814" t="str">
        <f>сообщения!AM4</f>
        <v> – параллельное подключение блоков датчиков к блоку индикации ("звезда") </v>
      </c>
    </row>
    <row r="30" spans="10:17" ht="21.75" customHeight="1">
      <c r="J30" s="814" t="str">
        <f>сообщения!AM5</f>
        <v> – последовательное подключение всех или некоторых блоков датчиков к блоку индикации ("гирлянда" или "звезда/гирлянда") </v>
      </c>
      <c r="P30" s="1"/>
      <c r="Q30" s="1"/>
    </row>
    <row r="31" spans="10:17" ht="21.75" customHeight="1">
      <c r="J31" s="814" t="str">
        <f>сообщения!AM6</f>
        <v> – код IP54 всех блоков датчиков (о потребности изменить защиту - сообщать при заказе)</v>
      </c>
      <c r="O31" s="1"/>
      <c r="P31" s="1"/>
      <c r="Q31" s="1"/>
    </row>
    <row r="32" spans="10:17" ht="24" customHeight="1">
      <c r="J32" s="814" t="str">
        <f>сообщения!AM7</f>
        <v> – код IP543 взрывозащищённых блоков датчиков</v>
      </c>
      <c r="O32" s="1"/>
      <c r="P32" s="1"/>
      <c r="Q32" s="1"/>
    </row>
    <row r="33" spans="10:17" ht="24" customHeight="1">
      <c r="J33" s="814" t="str">
        <f>сообщения!AM8</f>
        <v> – код IP50 блоков индикации</v>
      </c>
      <c r="N33" s="807" t="str">
        <f>сообщения!AL2</f>
        <v>-И21</v>
      </c>
      <c r="O33" s="1"/>
      <c r="P33" s="1"/>
      <c r="Q33" s="1"/>
    </row>
    <row r="34" spans="10:17" ht="24" customHeight="1">
      <c r="J34" s="814" t="str">
        <f>сообщения!AM11</f>
        <v> – без дисплея</v>
      </c>
      <c r="N34" s="807" t="str">
        <f>сообщения!AL3</f>
        <v>-И22</v>
      </c>
      <c r="O34" s="1"/>
      <c r="P34" s="1"/>
      <c r="Q34" s="1"/>
    </row>
    <row r="35" spans="10:14" ht="24" customHeight="1">
      <c r="J35" s="814" t="str">
        <f>сообщения!AM12</f>
        <v> – со знакосинтезирующим дисплеем</v>
      </c>
      <c r="N35" s="807" t="str">
        <f>сообщения!AL4</f>
        <v>(з)</v>
      </c>
    </row>
    <row r="36" spans="10:14" ht="24" customHeight="1">
      <c r="J36" s="814" t="str">
        <f>сообщения!AM13</f>
        <v> – с графическим дисплеем</v>
      </c>
      <c r="N36" s="807" t="str">
        <f>сообщения!AL5</f>
        <v>(г)</v>
      </c>
    </row>
    <row r="37" spans="10:14" ht="24" customHeight="1">
      <c r="J37" s="814" t="str">
        <f>сообщения!AM14</f>
        <v> – без токового выхода</v>
      </c>
      <c r="N37" s="807" t="str">
        <f>сообщения!AL6</f>
        <v>-/54</v>
      </c>
    </row>
    <row r="38" spans="10:14" ht="24" customHeight="1">
      <c r="J38" s="814" t="str">
        <f>сообщения!AM15</f>
        <v> – 0-5 мА</v>
      </c>
      <c r="N38" s="807" t="str">
        <f>сообщения!AL8</f>
        <v>/50</v>
      </c>
    </row>
    <row r="39" spans="10:14" ht="24" customHeight="1">
      <c r="J39" s="814" t="str">
        <f>сообщения!AM16</f>
        <v> – 4-20 мА</v>
      </c>
      <c r="N39" s="807" t="str">
        <f>сообщения!AL11</f>
        <v>-Д0</v>
      </c>
    </row>
    <row r="40" spans="10:14" ht="24" customHeight="1">
      <c r="J40" s="814" t="str">
        <f>сообщения!AM17</f>
        <v> – интерфейс RS232</v>
      </c>
      <c r="N40" s="807" t="str">
        <f>сообщения!AL12</f>
        <v>-Д2</v>
      </c>
    </row>
    <row r="41" spans="10:14" ht="24" customHeight="1">
      <c r="J41" s="814" t="str">
        <f>сообщения!AM18</f>
        <v> – интерфейс RS485</v>
      </c>
      <c r="N41" s="807" t="str">
        <f>сообщения!AL13</f>
        <v>-Д2</v>
      </c>
    </row>
    <row r="42" spans="10:14" ht="24" customHeight="1">
      <c r="J42" s="814"/>
      <c r="N42" s="807" t="str">
        <f>сообщения!AL14</f>
        <v>Т0</v>
      </c>
    </row>
    <row r="43" spans="10:14" ht="24" customHeight="1">
      <c r="J43" s="814" t="str">
        <f>сообщения!AM20</f>
        <v> – со звуковой сигнализацией</v>
      </c>
      <c r="N43" s="807" t="str">
        <f>сообщения!AL15</f>
        <v>Т1</v>
      </c>
    </row>
    <row r="44" spans="10:14" ht="24" customHeight="1">
      <c r="J44" s="814" t="str">
        <f>сообщения!AM21</f>
        <v> – без звуковой сигнализации</v>
      </c>
      <c r="N44" s="807" t="str">
        <f>сообщения!AL16</f>
        <v>Т2</v>
      </c>
    </row>
    <row r="45" spans="10:14" ht="24" customHeight="1">
      <c r="J45" s="814" t="str">
        <f>сообщения!AM22</f>
        <v> – с визуальной сигнализацией</v>
      </c>
      <c r="N45" s="807" t="str">
        <f>сообщения!AL17</f>
        <v>Ц1</v>
      </c>
    </row>
    <row r="46" spans="10:14" ht="24" customHeight="1">
      <c r="J46" s="814" t="str">
        <f>сообщения!AM23</f>
        <v> – без визуальной сигнализации</v>
      </c>
      <c r="N46" s="807" t="str">
        <f>сообщения!AL18</f>
        <v>Ц2</v>
      </c>
    </row>
    <row r="47" spans="10:14" ht="24" customHeight="1">
      <c r="J47" s="814" t="str">
        <f>сообщения!AM24</f>
        <v> – сигнализация по RS</v>
      </c>
      <c r="N47" s="807" t="str">
        <f>сообщения!AL19</f>
        <v>-С</v>
      </c>
    </row>
    <row r="48" spans="10:14" ht="24" customHeight="1">
      <c r="J48" s="814" t="str">
        <f>сообщения!AM25</f>
        <v> – напряжение питания (при необходимости заказать другое питание - сообщать при заказе)</v>
      </c>
      <c r="N48" s="807">
        <f>сообщения!AL20</f>
        <v>1</v>
      </c>
    </row>
    <row r="49" spans="9:14" ht="24" customHeight="1">
      <c r="I49" t="s">
        <v>307</v>
      </c>
      <c r="N49" s="807">
        <f>сообщения!AL21</f>
        <v>0</v>
      </c>
    </row>
    <row r="50" spans="9:14" ht="24" customHeight="1">
      <c r="I50" t="s">
        <v>573</v>
      </c>
      <c r="N50" s="807">
        <f>сообщения!AL22</f>
        <v>1</v>
      </c>
    </row>
    <row r="51" ht="24" customHeight="1">
      <c r="N51" s="807">
        <f>сообщения!AL23</f>
        <v>0</v>
      </c>
    </row>
    <row r="52" ht="24" customHeight="1">
      <c r="N52" s="807">
        <f>сообщения!AL24</f>
        <v>1</v>
      </c>
    </row>
    <row r="53" ht="24" customHeight="1">
      <c r="N53" s="807" t="str">
        <f>сообщения!AL25</f>
        <v>~220</v>
      </c>
    </row>
    <row r="54" ht="24" customHeight="1">
      <c r="N54" s="892" t="s">
        <v>789</v>
      </c>
    </row>
    <row r="55" ht="24" customHeight="1"/>
    <row r="56" ht="24" customHeight="1"/>
    <row r="57" ht="24" customHeight="1"/>
  </sheetData>
  <sheetProtection/>
  <mergeCells count="9">
    <mergeCell ref="P1:R4"/>
    <mergeCell ref="A29:B29"/>
    <mergeCell ref="A25:B25"/>
    <mergeCell ref="A26:B26"/>
    <mergeCell ref="A27:B27"/>
    <mergeCell ref="A28:B28"/>
    <mergeCell ref="F5:F6"/>
    <mergeCell ref="G5:G6"/>
    <mergeCell ref="H15:I22"/>
  </mergeCells>
  <dataValidations count="1">
    <dataValidation type="list" allowBlank="1" showInputMessage="1" showErrorMessage="1" sqref="I2">
      <formula1>$I$48:$I$50</formula1>
    </dataValidation>
  </dataValidations>
  <hyperlinks>
    <hyperlink ref="H6" location="сообщения!A3" display="код наименования:"/>
    <hyperlink ref="H7" location="сообщения!A13" display="примечание"/>
    <hyperlink ref="H8" location="сообщения!E3" display="взрывозащита:"/>
    <hyperlink ref="H9" location="сообщения!E13" display="примечание"/>
    <hyperlink ref="H10" location="'стац. с выносн. БД'!P9" display="рекомендуемое кол.   БР-10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6"/>
  <sheetViews>
    <sheetView zoomScalePageLayoutView="0" workbookViewId="0" topLeftCell="A1">
      <selection activeCell="G31" sqref="A31:G31"/>
    </sheetView>
  </sheetViews>
  <sheetFormatPr defaultColWidth="9.00390625" defaultRowHeight="12.75"/>
  <cols>
    <col min="1" max="1" width="13.25390625" style="0" customWidth="1"/>
    <col min="2" max="2" width="12.00390625" style="0" customWidth="1"/>
    <col min="4" max="6" width="18.75390625" style="0" customWidth="1"/>
    <col min="7" max="10" width="13.875" style="0" customWidth="1"/>
  </cols>
  <sheetData>
    <row r="2" spans="1:7" ht="12.75" customHeight="1">
      <c r="A2" s="189" t="s">
        <v>873</v>
      </c>
      <c r="B2" s="1"/>
      <c r="C2" s="1"/>
      <c r="D2" s="1"/>
      <c r="E2" s="1"/>
      <c r="F2" s="1"/>
      <c r="G2" s="1"/>
    </row>
    <row r="3" spans="1:7" ht="13.5" customHeight="1" thickBot="1">
      <c r="A3" s="1" t="s">
        <v>928</v>
      </c>
      <c r="B3" s="1"/>
      <c r="C3" s="1"/>
      <c r="D3" s="1"/>
      <c r="E3" s="1"/>
      <c r="F3" s="1"/>
      <c r="G3" s="1"/>
    </row>
    <row r="4" spans="1:6" ht="13.5" customHeight="1" thickBot="1">
      <c r="A4" s="1"/>
      <c r="B4" s="1" t="s">
        <v>305</v>
      </c>
      <c r="C4" s="1"/>
      <c r="D4" s="1100" t="s">
        <v>909</v>
      </c>
      <c r="E4" s="1101"/>
      <c r="F4" s="1102"/>
    </row>
    <row r="5" spans="1:6" ht="49.5" customHeight="1" thickBot="1">
      <c r="A5" s="190" t="s">
        <v>296</v>
      </c>
      <c r="B5" s="191" t="s">
        <v>297</v>
      </c>
      <c r="C5" s="192" t="s">
        <v>299</v>
      </c>
      <c r="D5" s="964" t="s">
        <v>879</v>
      </c>
      <c r="E5" s="965" t="s">
        <v>877</v>
      </c>
      <c r="F5" s="965" t="s">
        <v>876</v>
      </c>
    </row>
    <row r="6" spans="1:6" ht="18" customHeight="1" thickBot="1">
      <c r="A6" s="896" t="s">
        <v>300</v>
      </c>
      <c r="B6" s="897" t="s">
        <v>136</v>
      </c>
      <c r="C6" s="901">
        <f>VLOOKUP(B6,СГИ!$A$8:$G$27,7,TRUE)</f>
        <v>2</v>
      </c>
      <c r="D6" s="900">
        <v>10980</v>
      </c>
      <c r="E6" s="900">
        <f>D6+280</f>
        <v>11260</v>
      </c>
      <c r="F6" s="900">
        <f>D6+1440</f>
        <v>12420</v>
      </c>
    </row>
    <row r="7" spans="1:6" ht="18" customHeight="1" thickBot="1">
      <c r="A7" s="896" t="s">
        <v>301</v>
      </c>
      <c r="B7" s="897" t="s">
        <v>761</v>
      </c>
      <c r="C7" s="901">
        <f>VLOOKUP(B7,СГИ!$A$8:$G$27,7,TRUE)</f>
        <v>2</v>
      </c>
      <c r="D7" s="900">
        <v>8430</v>
      </c>
      <c r="E7" s="900">
        <f aca="true" t="shared" si="0" ref="E7:E21">D7+280</f>
        <v>8710</v>
      </c>
      <c r="F7" s="900">
        <f aca="true" t="shared" si="1" ref="F7:F21">D7+1440</f>
        <v>9870</v>
      </c>
    </row>
    <row r="8" spans="1:6" ht="18" customHeight="1" thickBot="1">
      <c r="A8" s="896" t="s">
        <v>301</v>
      </c>
      <c r="B8" s="897" t="s">
        <v>762</v>
      </c>
      <c r="C8" s="901">
        <f>VLOOKUP(B8,СГИ!$A$8:$G$27,7,TRUE)</f>
        <v>2</v>
      </c>
      <c r="D8" s="900">
        <v>10100</v>
      </c>
      <c r="E8" s="900">
        <f t="shared" si="0"/>
        <v>10380</v>
      </c>
      <c r="F8" s="900">
        <f t="shared" si="1"/>
        <v>11540</v>
      </c>
    </row>
    <row r="9" spans="1:6" ht="18" customHeight="1" thickBot="1">
      <c r="A9" s="896" t="s">
        <v>301</v>
      </c>
      <c r="B9" s="897" t="s">
        <v>763</v>
      </c>
      <c r="C9" s="901">
        <f>VLOOKUP(B9,СГИ!$A$8:$G$27,7,TRUE)</f>
        <v>2</v>
      </c>
      <c r="D9" s="900">
        <v>10100</v>
      </c>
      <c r="E9" s="900">
        <f t="shared" si="0"/>
        <v>10380</v>
      </c>
      <c r="F9" s="900">
        <f t="shared" si="1"/>
        <v>11540</v>
      </c>
    </row>
    <row r="10" spans="1:6" ht="18" customHeight="1" thickBot="1">
      <c r="A10" s="896" t="s">
        <v>301</v>
      </c>
      <c r="B10" s="897" t="s">
        <v>764</v>
      </c>
      <c r="C10" s="901">
        <f>VLOOKUP(B10,СГИ!$A$8:$G$27,7,TRUE)</f>
        <v>2</v>
      </c>
      <c r="D10" s="900">
        <v>10100</v>
      </c>
      <c r="E10" s="900">
        <f t="shared" si="0"/>
        <v>10380</v>
      </c>
      <c r="F10" s="900">
        <f t="shared" si="1"/>
        <v>11540</v>
      </c>
    </row>
    <row r="11" spans="1:8" ht="18" customHeight="1" thickBot="1">
      <c r="A11" s="896" t="s">
        <v>301</v>
      </c>
      <c r="B11" s="897" t="s">
        <v>765</v>
      </c>
      <c r="C11" s="901">
        <v>2</v>
      </c>
      <c r="D11" s="900">
        <v>22030</v>
      </c>
      <c r="E11" s="900">
        <f t="shared" si="0"/>
        <v>22310</v>
      </c>
      <c r="F11" s="900">
        <f t="shared" si="1"/>
        <v>23470</v>
      </c>
      <c r="H11" t="s">
        <v>305</v>
      </c>
    </row>
    <row r="12" spans="1:6" ht="18" customHeight="1" thickBot="1">
      <c r="A12" s="896" t="s">
        <v>300</v>
      </c>
      <c r="B12" s="897" t="s">
        <v>766</v>
      </c>
      <c r="C12" s="901">
        <f>VLOOKUP(B12,СГИ!$A$8:$G$27,7,TRUE)</f>
        <v>2</v>
      </c>
      <c r="D12" s="900">
        <v>10490</v>
      </c>
      <c r="E12" s="900">
        <f t="shared" si="0"/>
        <v>10770</v>
      </c>
      <c r="F12" s="900">
        <f t="shared" si="1"/>
        <v>11930</v>
      </c>
    </row>
    <row r="13" spans="1:6" ht="18" customHeight="1" thickBot="1">
      <c r="A13" s="896" t="s">
        <v>300</v>
      </c>
      <c r="B13" s="897" t="s">
        <v>767</v>
      </c>
      <c r="C13" s="901">
        <f>VLOOKUP(B13,СГИ!$A$8:$G$27,7,TRUE)</f>
        <v>3</v>
      </c>
      <c r="D13" s="900">
        <v>12170</v>
      </c>
      <c r="E13" s="900">
        <f t="shared" si="0"/>
        <v>12450</v>
      </c>
      <c r="F13" s="900">
        <f t="shared" si="1"/>
        <v>13610</v>
      </c>
    </row>
    <row r="14" spans="1:6" ht="18" customHeight="1" thickBot="1">
      <c r="A14" s="896" t="s">
        <v>300</v>
      </c>
      <c r="B14" s="897" t="s">
        <v>768</v>
      </c>
      <c r="C14" s="901">
        <f>VLOOKUP(B14,СГИ!$A$8:$G$27,7,TRUE)</f>
        <v>1</v>
      </c>
      <c r="D14" s="900">
        <v>11030</v>
      </c>
      <c r="E14" s="900">
        <f t="shared" si="0"/>
        <v>11310</v>
      </c>
      <c r="F14" s="900">
        <f t="shared" si="1"/>
        <v>12470</v>
      </c>
    </row>
    <row r="15" spans="1:6" ht="15" thickBot="1">
      <c r="A15" s="896" t="s">
        <v>300</v>
      </c>
      <c r="B15" s="897" t="s">
        <v>769</v>
      </c>
      <c r="C15" s="901">
        <f>VLOOKUP(B15,СГИ!$A$8:$G$27,7,TRUE)</f>
        <v>1</v>
      </c>
      <c r="D15" s="900">
        <v>11370</v>
      </c>
      <c r="E15" s="900">
        <f t="shared" si="0"/>
        <v>11650</v>
      </c>
      <c r="F15" s="900">
        <f t="shared" si="1"/>
        <v>12810</v>
      </c>
    </row>
    <row r="16" spans="1:6" ht="14.25" customHeight="1" thickBot="1">
      <c r="A16" s="896" t="s">
        <v>300</v>
      </c>
      <c r="B16" s="897" t="s">
        <v>770</v>
      </c>
      <c r="C16" s="901">
        <f>VLOOKUP(B16,СГИ!$A$8:$G$27,7,TRUE)</f>
        <v>1</v>
      </c>
      <c r="D16" s="900">
        <v>22030</v>
      </c>
      <c r="E16" s="900">
        <f t="shared" si="0"/>
        <v>22310</v>
      </c>
      <c r="F16" s="900">
        <f t="shared" si="1"/>
        <v>23470</v>
      </c>
    </row>
    <row r="17" spans="1:6" ht="15" hidden="1" thickBot="1">
      <c r="A17" s="898" t="s">
        <v>760</v>
      </c>
      <c r="B17" s="899" t="s">
        <v>771</v>
      </c>
      <c r="C17" s="903">
        <f>VLOOKUP(B17,СГИ!$A$8:$G$27,7,TRUE)</f>
        <v>2</v>
      </c>
      <c r="D17" s="902"/>
      <c r="E17" s="900">
        <f t="shared" si="0"/>
        <v>280</v>
      </c>
      <c r="F17" s="900">
        <f t="shared" si="1"/>
        <v>1440</v>
      </c>
    </row>
    <row r="18" spans="1:6" ht="13.5" thickBot="1">
      <c r="A18" s="896" t="s">
        <v>300</v>
      </c>
      <c r="B18" s="897" t="s">
        <v>117</v>
      </c>
      <c r="C18" s="901">
        <f>VLOOKUP(B18,СГИ!$A$8:$G$27,7,TRUE)</f>
        <v>2</v>
      </c>
      <c r="D18" s="900">
        <v>24400</v>
      </c>
      <c r="E18" s="900">
        <f t="shared" si="0"/>
        <v>24680</v>
      </c>
      <c r="F18" s="900">
        <f t="shared" si="1"/>
        <v>25840</v>
      </c>
    </row>
    <row r="19" spans="1:6" ht="13.5" thickBot="1">
      <c r="A19" s="896" t="s">
        <v>300</v>
      </c>
      <c r="B19" s="897" t="s">
        <v>48</v>
      </c>
      <c r="C19" s="901">
        <f>VLOOKUP(B19,СГИ!$A$8:$G$27,7,TRUE)</f>
        <v>1</v>
      </c>
      <c r="D19" s="900">
        <v>23000</v>
      </c>
      <c r="E19" s="900">
        <f t="shared" si="0"/>
        <v>23280</v>
      </c>
      <c r="F19" s="900">
        <f t="shared" si="1"/>
        <v>24440</v>
      </c>
    </row>
    <row r="20" spans="1:6" ht="15" thickBot="1">
      <c r="A20" s="896" t="s">
        <v>300</v>
      </c>
      <c r="B20" s="897" t="s">
        <v>772</v>
      </c>
      <c r="C20" s="901">
        <f>VLOOKUP(B20,СГИ!$A$8:$G$27,7,TRUE)</f>
        <v>1</v>
      </c>
      <c r="D20" s="900">
        <v>16540</v>
      </c>
      <c r="E20" s="900">
        <f t="shared" si="0"/>
        <v>16820</v>
      </c>
      <c r="F20" s="900">
        <f t="shared" si="1"/>
        <v>17980</v>
      </c>
    </row>
    <row r="21" spans="1:6" ht="15" thickBot="1">
      <c r="A21" s="896" t="s">
        <v>302</v>
      </c>
      <c r="B21" s="897" t="s">
        <v>773</v>
      </c>
      <c r="C21" s="901">
        <f>VLOOKUP(B21,СГИ!$A$8:$G$27,7,TRUE)</f>
        <v>1</v>
      </c>
      <c r="D21" s="900">
        <v>14420</v>
      </c>
      <c r="E21" s="900">
        <f t="shared" si="0"/>
        <v>14700</v>
      </c>
      <c r="F21" s="900">
        <f t="shared" si="1"/>
        <v>15860</v>
      </c>
    </row>
    <row r="22" spans="1:6" ht="13.5" thickBot="1">
      <c r="A22" s="1"/>
      <c r="B22" s="1"/>
      <c r="C22" s="1"/>
      <c r="D22" s="1"/>
      <c r="E22" s="1"/>
      <c r="F22" s="1"/>
    </row>
    <row r="23" spans="1:6" ht="13.5" customHeight="1" thickBot="1">
      <c r="A23" s="194" t="str">
        <f>ПРАЙС!B353</f>
        <v>Блок коммутации БКУ</v>
      </c>
      <c r="B23" s="195"/>
      <c r="C23" s="195"/>
      <c r="D23" s="1035">
        <f>СГИ!D32</f>
        <v>10880</v>
      </c>
      <c r="E23" s="1103" t="s">
        <v>777</v>
      </c>
      <c r="F23" s="1104"/>
    </row>
    <row r="24" spans="1:6" ht="13.5" customHeight="1" thickBot="1">
      <c r="A24" s="194" t="str">
        <f>ПРАЙС!B354</f>
        <v>Блок коммутации БР10М</v>
      </c>
      <c r="B24" s="195"/>
      <c r="C24" s="195"/>
      <c r="D24" s="909">
        <f>СГИ!D60</f>
        <v>2150</v>
      </c>
      <c r="E24" s="1105"/>
      <c r="F24" s="1106"/>
    </row>
    <row r="25" spans="1:6" ht="13.5" customHeight="1" thickBot="1">
      <c r="A25" s="194" t="str">
        <f>ПРАЙС!B355</f>
        <v>Блок коммутации РП</v>
      </c>
      <c r="B25" s="195"/>
      <c r="C25" s="195"/>
      <c r="D25" s="909">
        <f>ПРАЙС!F355</f>
        <v>1210</v>
      </c>
      <c r="E25" s="1105"/>
      <c r="F25" s="1106"/>
    </row>
    <row r="26" spans="1:6" ht="13.5" customHeight="1" thickBot="1">
      <c r="A26" s="194" t="s">
        <v>286</v>
      </c>
      <c r="B26" s="195"/>
      <c r="C26" s="195"/>
      <c r="D26" s="909">
        <f>ПРАЙС!F367</f>
        <v>1820</v>
      </c>
      <c r="E26" s="1105"/>
      <c r="F26" s="1106"/>
    </row>
    <row r="27" spans="1:6" ht="13.5" customHeight="1" thickBot="1">
      <c r="A27" s="194" t="str">
        <f>ПРАЙС!B366</f>
        <v>Блок питания БП-60-24 (24В, 60Вт)</v>
      </c>
      <c r="B27" s="195"/>
      <c r="C27" s="195"/>
      <c r="D27" s="909">
        <f>ПРАЙС!F366</f>
        <v>2870</v>
      </c>
      <c r="E27" s="1105"/>
      <c r="F27" s="1106"/>
    </row>
    <row r="28" spans="1:6" ht="13.5" customHeight="1" thickBot="1">
      <c r="A28" s="194" t="s">
        <v>510</v>
      </c>
      <c r="B28" s="195"/>
      <c r="C28" s="195"/>
      <c r="D28" s="909">
        <f>ПРАЙС!F358</f>
        <v>1100</v>
      </c>
      <c r="E28" s="1105"/>
      <c r="F28" s="1106"/>
    </row>
    <row r="29" spans="1:6" ht="15" customHeight="1" thickBot="1">
      <c r="A29" s="194" t="str">
        <f>ПРАЙС!B363</f>
        <v>Тестовый кабель, USB-RS485 EDGK</v>
      </c>
      <c r="B29" s="195"/>
      <c r="C29" s="195"/>
      <c r="D29" s="909">
        <f>ПРАЙС!F363</f>
        <v>1660</v>
      </c>
      <c r="E29" s="1107"/>
      <c r="F29" s="1108"/>
    </row>
    <row r="31" ht="12.75">
      <c r="A31" t="s">
        <v>878</v>
      </c>
    </row>
    <row r="35" ht="12.75">
      <c r="A35" t="s">
        <v>875</v>
      </c>
    </row>
    <row r="36" ht="12.75">
      <c r="A36" s="966" t="s">
        <v>874</v>
      </c>
    </row>
  </sheetData>
  <sheetProtection/>
  <mergeCells count="2">
    <mergeCell ref="D4:F4"/>
    <mergeCell ref="E23:F29"/>
  </mergeCells>
  <hyperlinks>
    <hyperlink ref="A36" r:id="rId1" display="http://www.infogas.ru/monoblok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pane xSplit="4" ySplit="4" topLeftCell="E5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D7" sqref="D7"/>
    </sheetView>
  </sheetViews>
  <sheetFormatPr defaultColWidth="8.875" defaultRowHeight="12.75"/>
  <cols>
    <col min="1" max="1" width="7.25390625" style="196" hidden="1" customWidth="1"/>
    <col min="2" max="2" width="6.25390625" style="1" hidden="1" customWidth="1"/>
    <col min="3" max="3" width="16.125" style="1" customWidth="1"/>
    <col min="4" max="4" width="9.875" style="1" customWidth="1"/>
    <col min="5" max="5" width="29.125" style="1" customWidth="1"/>
    <col min="6" max="6" width="1.12109375" style="1" hidden="1" customWidth="1"/>
    <col min="7" max="7" width="22.125" style="1" customWidth="1"/>
    <col min="8" max="8" width="34.75390625" style="1" customWidth="1"/>
    <col min="9" max="9" width="34.75390625" style="1" hidden="1" customWidth="1"/>
    <col min="10" max="10" width="33.25390625" style="1" hidden="1" customWidth="1"/>
    <col min="11" max="11" width="33.25390625" style="1" customWidth="1"/>
    <col min="12" max="12" width="8.625" style="1" customWidth="1"/>
    <col min="13" max="16" width="31.875" style="196" customWidth="1"/>
    <col min="17" max="17" width="14.125" style="196" customWidth="1"/>
    <col min="18" max="18" width="9.125" style="196" customWidth="1"/>
    <col min="19" max="19" width="16.00390625" style="1" customWidth="1"/>
    <col min="20" max="16384" width="8.875" style="1" customWidth="1"/>
  </cols>
  <sheetData>
    <row r="1" spans="1:19" ht="15" customHeight="1" thickBot="1">
      <c r="A1" s="200" t="s">
        <v>346</v>
      </c>
      <c r="C1" s="240"/>
      <c r="D1" s="240"/>
      <c r="E1" s="240"/>
      <c r="H1" s="906" t="s">
        <v>572</v>
      </c>
      <c r="I1" s="199"/>
      <c r="L1" s="1109"/>
      <c r="M1" s="1109"/>
      <c r="N1" s="1109"/>
      <c r="O1" s="1"/>
      <c r="P1" s="1"/>
      <c r="Q1" s="1"/>
      <c r="R1" s="1"/>
      <c r="S1" s="241"/>
    </row>
    <row r="2" spans="1:19" ht="26.25" customHeight="1">
      <c r="A2" s="242" t="s">
        <v>347</v>
      </c>
      <c r="D2" s="240"/>
      <c r="E2" s="240"/>
      <c r="F2" s="240"/>
      <c r="G2" s="240"/>
      <c r="H2" s="904" t="s">
        <v>573</v>
      </c>
      <c r="I2" s="240"/>
      <c r="L2" s="1109"/>
      <c r="M2" s="1109"/>
      <c r="N2" s="1109"/>
      <c r="O2" s="1"/>
      <c r="P2" s="1"/>
      <c r="Q2" s="1"/>
      <c r="R2" s="1"/>
      <c r="S2" s="243"/>
    </row>
    <row r="3" spans="1:18" ht="12" customHeight="1">
      <c r="A3" s="240" t="s">
        <v>305</v>
      </c>
      <c r="C3" s="240" t="s">
        <v>928</v>
      </c>
      <c r="D3" s="240"/>
      <c r="E3" s="240"/>
      <c r="F3" s="240"/>
      <c r="G3" s="240"/>
      <c r="H3" s="536" t="s">
        <v>577</v>
      </c>
      <c r="I3" s="240"/>
      <c r="L3" s="1109"/>
      <c r="M3" s="1109"/>
      <c r="N3" s="1109"/>
      <c r="O3" s="1"/>
      <c r="P3" s="1"/>
      <c r="Q3" s="1"/>
      <c r="R3" s="1"/>
    </row>
    <row r="4" spans="1:18" ht="7.5" customHeight="1" thickBot="1">
      <c r="A4" s="824"/>
      <c r="B4" s="825"/>
      <c r="C4" s="825"/>
      <c r="D4" s="825"/>
      <c r="E4" s="240"/>
      <c r="F4" s="240"/>
      <c r="G4" s="244"/>
      <c r="H4" s="240"/>
      <c r="I4" s="240"/>
      <c r="L4" s="1109"/>
      <c r="M4" s="1109"/>
      <c r="N4" s="1109"/>
      <c r="O4" s="1"/>
      <c r="P4" s="1"/>
      <c r="Q4" s="1"/>
      <c r="R4" s="1"/>
    </row>
    <row r="5" spans="1:18" ht="13.5" thickBot="1">
      <c r="A5" s="821"/>
      <c r="B5" s="821"/>
      <c r="C5" s="822" t="s">
        <v>349</v>
      </c>
      <c r="D5" s="823" t="str">
        <f>H2</f>
        <v>ОКА-</v>
      </c>
      <c r="E5"/>
      <c r="F5"/>
      <c r="G5" s="520" t="s">
        <v>314</v>
      </c>
      <c r="H5" s="571" t="str">
        <f>CONCATENATE("ВВОДА каналов для ",H$2,IF(B23+B24&gt;0,"индикатора",""))</f>
        <v>ВВОДА каналов для ОКА-</v>
      </c>
      <c r="K5" s="819">
        <f>IF(AND(L6=1,OR(D8=1,D9=1,D10=1,D11=1)),"г/а с каналом водорода пока выпускаются без взрывозащиты","")</f>
      </c>
      <c r="R5" s="1"/>
    </row>
    <row r="6" spans="1:18" ht="28.5" customHeight="1" thickBot="1">
      <c r="A6" s="888"/>
      <c r="B6" s="245" t="s">
        <v>350</v>
      </c>
      <c r="C6" s="246" t="s">
        <v>312</v>
      </c>
      <c r="D6" s="820" t="s">
        <v>351</v>
      </c>
      <c r="E6"/>
      <c r="F6"/>
      <c r="G6" s="513" t="s">
        <v>321</v>
      </c>
      <c r="H6" s="514">
        <f>сообщения!$A$47</f>
      </c>
      <c r="I6" s="873" t="s">
        <v>352</v>
      </c>
      <c r="J6" s="761" t="s">
        <v>298</v>
      </c>
      <c r="K6" s="818" t="s">
        <v>637</v>
      </c>
      <c r="L6" s="817"/>
      <c r="R6" s="1"/>
    </row>
    <row r="7" spans="1:18" ht="37.5" customHeight="1" thickBot="1">
      <c r="A7" s="249" t="s">
        <v>319</v>
      </c>
      <c r="B7" s="224"/>
      <c r="C7" s="250" t="s">
        <v>320</v>
      </c>
      <c r="D7" s="251"/>
      <c r="E7" s="252" t="str">
        <f>IF(SUM(D$7:D$21)+SUM(D$19:D$19)&gt;5,"&lt;- каналов не должно быть более 5",IF(D7&gt;1,"&lt;- измените количество каналов",IF(SUM(D$7:D$21)+SUM(D$19:D$19)=5,"&lt;- дальнейший ввод невозможен",IF(D7=1,"","&lt;- введите данные, где необходимо"))))</f>
        <v>&lt;- введите данные, где необходимо</v>
      </c>
      <c r="F7"/>
      <c r="G7" s="515"/>
      <c r="H7" s="870" t="str">
        <f>сообщения!A58</f>
        <v>Укажите каналы измерения выбранных газов </v>
      </c>
      <c r="I7" s="874">
        <f>IF($D7=1,CONCATENATE("-",$C7),"")</f>
      </c>
      <c r="J7" s="871">
        <f>IF(I7="",0,1)</f>
        <v>0</v>
      </c>
      <c r="K7" s="818" t="s">
        <v>740</v>
      </c>
      <c r="L7" s="817"/>
      <c r="R7" s="1"/>
    </row>
    <row r="8" spans="1:18" ht="27" customHeight="1">
      <c r="A8" s="255" t="s">
        <v>322</v>
      </c>
      <c r="B8" s="556" t="s">
        <v>136</v>
      </c>
      <c r="C8" s="231" t="s">
        <v>323</v>
      </c>
      <c r="D8" s="251"/>
      <c r="E8" s="252" t="str">
        <f aca="true" t="shared" si="0" ref="E8:E23">IF(SUM(D$7:D$21)+SUM(D$19:D$19)&gt;5,"&lt;- каналов не должно быть более 5",IF(D8&gt;1,"&lt;- измените количество каналов",IF(SUM(D$7:D$21)+SUM(D$19:D$19)=5,"&lt;- дальнейший ввод невозможен",IF(D8=1,"","&lt;- введите данные, где необходимо"))))</f>
        <v>&lt;- введите данные, где необходимо</v>
      </c>
      <c r="F8"/>
      <c r="G8" s="573" t="s">
        <v>325</v>
      </c>
      <c r="H8" s="922" t="str">
        <f>сообщения!$E$47</f>
        <v>взрывозащита НЕ предусмотрена</v>
      </c>
      <c r="I8" s="921">
        <f>IF(OR($D8=1,A9*J9=1,A10*J10=1,A11*J11=1),CONCATENATE("-",$C8),"")</f>
      </c>
      <c r="J8" s="871">
        <f>IF(I8="",0,1)</f>
        <v>0</v>
      </c>
      <c r="K8" s="196"/>
      <c r="L8" s="196"/>
      <c r="R8" s="1"/>
    </row>
    <row r="9" spans="1:18" ht="35.25" customHeight="1" thickBot="1">
      <c r="A9" s="256"/>
      <c r="B9" s="256"/>
      <c r="C9" s="231" t="s">
        <v>326</v>
      </c>
      <c r="D9" s="251"/>
      <c r="E9" s="252" t="str">
        <f t="shared" si="0"/>
        <v>&lt;- введите данные, где необходимо</v>
      </c>
      <c r="F9"/>
      <c r="G9" s="574"/>
      <c r="H9" s="923" t="str">
        <f>сообщения!$E$58</f>
        <v>(укажите необходимость взрывозащиты, если необходимо)</v>
      </c>
      <c r="I9" s="921">
        <f>IF(OR($D9=1,A10*J10=1,A11*J11=1,A12*J12=1),CONCATENATE("-",$C9),"")</f>
      </c>
      <c r="J9" s="871">
        <f>IF(I9="",0,1)</f>
        <v>0</v>
      </c>
      <c r="R9" s="1"/>
    </row>
    <row r="10" spans="1:18" ht="19.5" customHeight="1" thickBot="1">
      <c r="A10" s="256"/>
      <c r="B10" s="256"/>
      <c r="C10" s="231" t="s">
        <v>327</v>
      </c>
      <c r="D10" s="251"/>
      <c r="E10" s="252" t="str">
        <f t="shared" si="0"/>
        <v>&lt;- введите данные, где необходимо</v>
      </c>
      <c r="F10"/>
      <c r="G10" s="519"/>
      <c r="H10" s="924"/>
      <c r="I10" s="921">
        <f>IF(OR($D10=1,A11*J11=1,A12*J12=1,A13*J13=1),CONCATENATE("-",$C10),"")</f>
      </c>
      <c r="J10" s="871">
        <f>IF(I10="",0,1)</f>
        <v>0</v>
      </c>
      <c r="R10" s="1"/>
    </row>
    <row r="11" spans="1:18" ht="25.5" customHeight="1" thickBot="1">
      <c r="A11" s="256"/>
      <c r="B11" s="256"/>
      <c r="C11" s="257" t="s">
        <v>328</v>
      </c>
      <c r="D11" s="251"/>
      <c r="E11" s="252" t="str">
        <f t="shared" si="0"/>
        <v>&lt;- введите данные, где необходимо</v>
      </c>
      <c r="F11"/>
      <c r="G11" s="521"/>
      <c r="H11" s="925" t="str">
        <f>сообщения!C66</f>
        <v>ЦЕНЫ без взрывозащиты</v>
      </c>
      <c r="I11" s="921">
        <f>IF(OR($D11=1,A12*J12=1,A13*J13=1,A14*J14=1),CONCATENATE("-",$C11),"")</f>
      </c>
      <c r="J11" s="871">
        <f>IF(I11="",0,1)</f>
        <v>0</v>
      </c>
      <c r="R11" s="1"/>
    </row>
    <row r="12" spans="1:18" ht="24.75" customHeight="1" thickBot="1">
      <c r="A12" s="258"/>
      <c r="B12" s="591" t="s">
        <v>570</v>
      </c>
      <c r="C12" s="259" t="s">
        <v>36</v>
      </c>
      <c r="D12" s="251"/>
      <c r="E12" s="252" t="str">
        <f t="shared" si="0"/>
        <v>&lt;- введите данные, где необходимо</v>
      </c>
      <c r="F12"/>
      <c r="G12" s="516" t="s">
        <v>353</v>
      </c>
      <c r="H12" s="926" t="str">
        <f>IF(H7="",(IF(OR(H6="",H6=сообщения!I55),"--",IF(H8=сообщения!I55,"--",ROUND(сообщения!L68,-1)))),"проверьте ввод данных")</f>
        <v>проверьте ввод данных</v>
      </c>
      <c r="I12" s="921">
        <f aca="true" t="shared" si="1" ref="I12:I19">IF($D12=1,CONCATENATE("-",C12),IF(AND(D13&gt;0,D9&gt;0,D25=1),CONCATENATE("-",C12),""))</f>
      </c>
      <c r="J12" s="871">
        <f aca="true" t="shared" si="2" ref="J12:J23">IF(I12="",0,1)</f>
        <v>0</v>
      </c>
      <c r="K12" s="247"/>
      <c r="R12" s="1"/>
    </row>
    <row r="13" spans="1:18" ht="20.25" customHeight="1" thickBot="1">
      <c r="A13" s="258"/>
      <c r="B13" s="258"/>
      <c r="C13" s="233" t="s">
        <v>336</v>
      </c>
      <c r="D13" s="266"/>
      <c r="E13" s="252" t="str">
        <f t="shared" si="0"/>
        <v>&lt;- введите данные, где необходимо</v>
      </c>
      <c r="F13"/>
      <c r="G13" s="517" t="str">
        <f>CONCATENATE("НДС ",100*СГИ!$B$1,"%")</f>
        <v>НДС 20%</v>
      </c>
      <c r="H13" s="927">
        <f>IF(H12="--","--",SUM(H12:H12)*ПГ!B2)</f>
        <v>0</v>
      </c>
      <c r="I13" s="921">
        <f t="shared" si="1"/>
      </c>
      <c r="J13" s="871">
        <f t="shared" si="2"/>
        <v>0</v>
      </c>
      <c r="K13" s="247"/>
      <c r="R13" s="1"/>
    </row>
    <row r="14" spans="1:18" ht="22.5" customHeight="1" thickBot="1">
      <c r="A14" s="258"/>
      <c r="B14" s="258"/>
      <c r="C14" s="231" t="s">
        <v>136</v>
      </c>
      <c r="D14" s="251"/>
      <c r="E14" s="252" t="str">
        <f t="shared" si="0"/>
        <v>&lt;- введите данные, где необходимо</v>
      </c>
      <c r="F14"/>
      <c r="G14" s="518" t="s">
        <v>332</v>
      </c>
      <c r="H14" s="928">
        <f>IF(H12="--","--",SUM(H12:H13))</f>
        <v>0</v>
      </c>
      <c r="I14" s="921">
        <f t="shared" si="1"/>
      </c>
      <c r="J14" s="871">
        <f t="shared" si="2"/>
        <v>0</v>
      </c>
      <c r="K14" s="247"/>
      <c r="R14" s="1"/>
    </row>
    <row r="15" spans="1:18" ht="19.5" customHeight="1" thickBot="1">
      <c r="A15" s="258"/>
      <c r="B15" s="258"/>
      <c r="C15" s="231" t="s">
        <v>330</v>
      </c>
      <c r="D15" s="251"/>
      <c r="E15" s="252" t="str">
        <f t="shared" si="0"/>
        <v>&lt;- введите данные, где необходимо</v>
      </c>
      <c r="F15"/>
      <c r="G15" s="519"/>
      <c r="H15" s="929"/>
      <c r="I15" s="921">
        <f t="shared" si="1"/>
      </c>
      <c r="J15" s="871">
        <f t="shared" si="2"/>
        <v>0</v>
      </c>
      <c r="K15" s="247"/>
      <c r="R15" s="1"/>
    </row>
    <row r="16" spans="1:18" ht="12.75" customHeight="1">
      <c r="A16" s="258"/>
      <c r="B16" s="260"/>
      <c r="C16" s="231" t="s">
        <v>331</v>
      </c>
      <c r="D16" s="251"/>
      <c r="E16" s="252" t="str">
        <f t="shared" si="0"/>
        <v>&lt;- введите данные, где необходимо</v>
      </c>
      <c r="F16"/>
      <c r="G16" s="1110" t="s">
        <v>775</v>
      </c>
      <c r="H16" s="1111"/>
      <c r="I16" s="875">
        <f t="shared" si="1"/>
      </c>
      <c r="J16" s="871">
        <f t="shared" si="2"/>
        <v>0</v>
      </c>
      <c r="K16" s="247"/>
      <c r="R16" s="1"/>
    </row>
    <row r="17" spans="1:18" ht="12.75" customHeight="1">
      <c r="A17" s="258"/>
      <c r="B17" s="258"/>
      <c r="C17" s="231" t="s">
        <v>333</v>
      </c>
      <c r="D17" s="251"/>
      <c r="E17" s="252" t="str">
        <f t="shared" si="0"/>
        <v>&lt;- введите данные, где необходимо</v>
      </c>
      <c r="F17"/>
      <c r="G17" s="1112"/>
      <c r="H17" s="1113"/>
      <c r="I17" s="875">
        <f t="shared" si="1"/>
      </c>
      <c r="J17" s="871">
        <f t="shared" si="2"/>
        <v>0</v>
      </c>
      <c r="K17" s="247"/>
      <c r="R17" s="1"/>
    </row>
    <row r="18" spans="1:18" ht="12.75" customHeight="1">
      <c r="A18" s="258"/>
      <c r="B18" s="258"/>
      <c r="C18" s="231" t="s">
        <v>334</v>
      </c>
      <c r="D18" s="251"/>
      <c r="E18" s="252" t="str">
        <f t="shared" si="0"/>
        <v>&lt;- введите данные, где необходимо</v>
      </c>
      <c r="F18"/>
      <c r="G18" s="1112"/>
      <c r="H18" s="1113"/>
      <c r="I18" s="875">
        <f t="shared" si="1"/>
      </c>
      <c r="J18" s="871">
        <f t="shared" si="2"/>
        <v>0</v>
      </c>
      <c r="K18" s="247"/>
      <c r="R18" s="1"/>
    </row>
    <row r="19" spans="1:18" ht="12.75" customHeight="1">
      <c r="A19" s="261"/>
      <c r="B19" s="261"/>
      <c r="C19" s="231" t="s">
        <v>117</v>
      </c>
      <c r="D19" s="266"/>
      <c r="E19" s="252" t="str">
        <f t="shared" si="0"/>
        <v>&lt;- введите данные, где необходимо</v>
      </c>
      <c r="F19"/>
      <c r="G19" s="1112"/>
      <c r="H19" s="1113"/>
      <c r="I19" s="875">
        <f t="shared" si="1"/>
      </c>
      <c r="J19" s="871">
        <f t="shared" si="2"/>
        <v>0</v>
      </c>
      <c r="K19" s="247"/>
      <c r="R19" s="1"/>
    </row>
    <row r="20" spans="1:18" ht="15.75" customHeight="1">
      <c r="A20" s="258"/>
      <c r="B20" s="591" t="s">
        <v>570</v>
      </c>
      <c r="C20" s="231" t="str">
        <f>IF(H$2=сообщения!$I$46,"","NO2")</f>
        <v>NO2</v>
      </c>
      <c r="D20" s="266"/>
      <c r="E20" s="262" t="str">
        <f t="shared" si="0"/>
        <v>&lt;- введите данные, где необходимо</v>
      </c>
      <c r="F20" s="263"/>
      <c r="G20" s="1112"/>
      <c r="H20" s="1113"/>
      <c r="I20" s="876">
        <f>IF($D20=1,CONCATENATE("-",$C20),"")</f>
      </c>
      <c r="J20" s="871">
        <f t="shared" si="2"/>
        <v>0</v>
      </c>
      <c r="K20" s="1" t="s">
        <v>305</v>
      </c>
      <c r="R20" s="1"/>
    </row>
    <row r="21" spans="1:18" ht="24.75" customHeight="1">
      <c r="A21" s="258"/>
      <c r="B21" s="591" t="s">
        <v>570</v>
      </c>
      <c r="C21" s="231" t="str">
        <f>IF($H$2=сообщения!$I$46,"","HCl")</f>
        <v>HCl</v>
      </c>
      <c r="D21" s="266"/>
      <c r="E21" s="264" t="str">
        <f t="shared" si="0"/>
        <v>&lt;- введите данные, где необходимо</v>
      </c>
      <c r="F21" s="265"/>
      <c r="G21" s="1112"/>
      <c r="H21" s="1113"/>
      <c r="I21" s="876">
        <f>IF($D21=1,CONCATENATE("-",$C21),"")</f>
      </c>
      <c r="J21" s="871">
        <f t="shared" si="2"/>
        <v>0</v>
      </c>
      <c r="R21" s="1"/>
    </row>
    <row r="22" spans="1:18" ht="24.75" customHeight="1" thickBot="1">
      <c r="A22" s="258"/>
      <c r="B22" s="591"/>
      <c r="C22" s="746" t="s">
        <v>584</v>
      </c>
      <c r="D22" s="745"/>
      <c r="E22" s="252" t="str">
        <f t="shared" si="0"/>
        <v>&lt;- введите данные, где необходимо</v>
      </c>
      <c r="F22"/>
      <c r="G22" s="1114"/>
      <c r="H22" s="1115"/>
      <c r="I22" s="875">
        <f>IF($D22=1,CONCATENATE("-",$C22),"")</f>
      </c>
      <c r="J22" s="872">
        <f t="shared" si="2"/>
        <v>0</v>
      </c>
      <c r="R22" s="1"/>
    </row>
    <row r="23" spans="1:18" ht="14.25" customHeight="1">
      <c r="A23" s="258"/>
      <c r="B23" s="591"/>
      <c r="C23" s="747" t="s">
        <v>585</v>
      </c>
      <c r="D23" s="745"/>
      <c r="E23" s="252" t="str">
        <f t="shared" si="0"/>
        <v>&lt;- введите данные, где необходимо</v>
      </c>
      <c r="F23"/>
      <c r="I23" s="875">
        <f>IF($D23=1,CONCATENATE("-",$C23),"")</f>
      </c>
      <c r="J23" s="247">
        <f t="shared" si="2"/>
        <v>0</v>
      </c>
      <c r="K23" s="196"/>
      <c r="R23" s="1"/>
    </row>
    <row r="24" spans="1:18" ht="14.25" customHeight="1">
      <c r="A24" s="1"/>
      <c r="E24" s="440"/>
      <c r="G24" s="271"/>
      <c r="H24" s="884"/>
      <c r="I24" s="813" t="s">
        <v>338</v>
      </c>
      <c r="J24" s="885">
        <f>SUM(J8:J11)</f>
        <v>0</v>
      </c>
      <c r="K24" s="196"/>
      <c r="R24" s="1"/>
    </row>
    <row r="25" spans="1:12" ht="14.25" customHeight="1">
      <c r="A25" s="1" t="s">
        <v>305</v>
      </c>
      <c r="C25" s="1" t="s">
        <v>305</v>
      </c>
      <c r="E25" s="440"/>
      <c r="G25" s="271"/>
      <c r="H25" s="884"/>
      <c r="I25" s="813" t="s">
        <v>340</v>
      </c>
      <c r="J25" s="886">
        <f>SUM(J13:J23)</f>
        <v>0</v>
      </c>
      <c r="K25" s="196"/>
      <c r="L25" s="247"/>
    </row>
    <row r="26" spans="1:11" ht="14.25" customHeight="1">
      <c r="A26" s="1"/>
      <c r="E26" s="1046"/>
      <c r="G26" s="271"/>
      <c r="H26" s="884"/>
      <c r="I26" s="813" t="s">
        <v>341</v>
      </c>
      <c r="J26" s="887">
        <f>SUM(J7:J23)</f>
        <v>0</v>
      </c>
      <c r="K26" s="196"/>
    </row>
    <row r="27" spans="3:17" s="271" customFormat="1" ht="14.25" customHeight="1">
      <c r="C27" s="271" t="s">
        <v>305</v>
      </c>
      <c r="I27" s="813"/>
      <c r="J27" s="1"/>
      <c r="K27" s="1"/>
      <c r="Q27" s="196"/>
    </row>
    <row r="28" spans="8:17" s="271" customFormat="1" ht="14.25" customHeight="1" hidden="1" thickBot="1">
      <c r="H28" s="1"/>
      <c r="I28" s="1" t="str">
        <f>сообщения!AK46</f>
        <v>Пояснения к коду переносного газоанализатора</v>
      </c>
      <c r="J28" s="1"/>
      <c r="K28" s="1"/>
      <c r="Q28" s="196"/>
    </row>
    <row r="29" spans="8:17" s="271" customFormat="1" ht="14.25" customHeight="1" hidden="1">
      <c r="H29" s="807" t="str">
        <f>сообщения!AJ47</f>
        <v>-И11</v>
      </c>
      <c r="I29" s="1" t="str">
        <f>сообщения!AK47</f>
        <v> – переносной</v>
      </c>
      <c r="J29" s="1"/>
      <c r="K29" s="234">
        <f>IF(J7=1,"92","")</f>
      </c>
      <c r="Q29" s="196"/>
    </row>
    <row r="30" spans="8:17" s="271" customFormat="1" ht="14.25" customHeight="1" hidden="1">
      <c r="H30" s="807">
        <f>сообщения!AJ48</f>
        <v>6</v>
      </c>
      <c r="I30" s="1" t="str">
        <f>сообщения!AK48</f>
        <v> – длина линии связи между блоком датчиков и блоком индикации (по умолчанию - 6 м) </v>
      </c>
      <c r="J30" s="1"/>
      <c r="K30" s="236">
        <f>IF(AND(J24+J12&gt;0,J24+J12&lt;4),"М","")</f>
      </c>
      <c r="Q30" s="196"/>
    </row>
    <row r="31" spans="8:17" s="271" customFormat="1" ht="14.25" customHeight="1" hidden="1" thickBot="1">
      <c r="H31" s="804" t="str">
        <f>сообщения!AJ49</f>
        <v>-/53</v>
      </c>
      <c r="I31" s="1" t="str">
        <f>сообщения!AK49</f>
        <v> – код IP54 блоков датчиков (о потребности изменить защиту оболочкой - сообщать при заказе)</v>
      </c>
      <c r="J31" s="1"/>
      <c r="K31" s="238">
        <f>IF(J25&gt;0,"Т","")</f>
      </c>
      <c r="Q31" s="196"/>
    </row>
    <row r="32" spans="8:17" s="271" customFormat="1" ht="14.25" customHeight="1" hidden="1">
      <c r="H32" s="804" t="str">
        <f>сообщения!AJ51</f>
        <v>/50</v>
      </c>
      <c r="I32" s="1" t="str">
        <f>сообщения!AK51</f>
        <v> – код IP50 блоков индикации</v>
      </c>
      <c r="J32" s="1"/>
      <c r="K32" s="1"/>
      <c r="Q32" s="196"/>
    </row>
    <row r="33" spans="8:17" s="271" customFormat="1" ht="14.25" customHeight="1" hidden="1">
      <c r="H33" s="804" t="str">
        <f>сообщения!AJ52</f>
        <v>-Д2</v>
      </c>
      <c r="I33" s="1" t="str">
        <f>сообщения!AK52</f>
        <v> – с графическим дисплеем</v>
      </c>
      <c r="J33" s="1"/>
      <c r="K33" s="1"/>
      <c r="Q33" s="196"/>
    </row>
    <row r="34" spans="8:17" s="271" customFormat="1" ht="14.25" customHeight="1" hidden="1">
      <c r="H34" s="804" t="str">
        <f>сообщения!AJ53</f>
        <v>Т0</v>
      </c>
      <c r="I34" s="1" t="str">
        <f>сообщения!AK53</f>
        <v> – без токового выхода</v>
      </c>
      <c r="J34" s="1"/>
      <c r="K34" s="1"/>
      <c r="Q34" s="196"/>
    </row>
    <row r="35" spans="8:17" s="271" customFormat="1" ht="14.25" customHeight="1" hidden="1">
      <c r="H35" s="804" t="str">
        <f>сообщения!AJ54</f>
        <v>Ц0</v>
      </c>
      <c r="I35" s="1" t="str">
        <f>сообщения!AK54</f>
        <v> – без цифрового интерфейса</v>
      </c>
      <c r="J35" s="1"/>
      <c r="K35" s="1"/>
      <c r="Q35" s="196"/>
    </row>
    <row r="36" spans="8:17" s="271" customFormat="1" ht="14.25" customHeight="1" hidden="1">
      <c r="H36" s="807" t="str">
        <f>сообщения!AJ55</f>
        <v>-С</v>
      </c>
      <c r="I36"/>
      <c r="J36" s="1"/>
      <c r="K36" s="1"/>
      <c r="Q36" s="196"/>
    </row>
    <row r="37" spans="8:17" s="271" customFormat="1" ht="14.25" customHeight="1" hidden="1">
      <c r="H37">
        <f>сообщения!AJ56</f>
        <v>1</v>
      </c>
      <c r="I37" s="1" t="str">
        <f>сообщения!AK56</f>
        <v> – со звуковой сигнализацией</v>
      </c>
      <c r="J37" s="1"/>
      <c r="K37" s="1"/>
      <c r="Q37" s="196"/>
    </row>
    <row r="38" spans="8:17" s="271" customFormat="1" ht="14.25" customHeight="1" hidden="1">
      <c r="H38">
        <f>сообщения!AJ57</f>
        <v>0</v>
      </c>
      <c r="I38" s="1" t="str">
        <f>сообщения!AK57</f>
        <v> – без звуковой сигнализации</v>
      </c>
      <c r="J38" s="1"/>
      <c r="K38" s="1"/>
      <c r="Q38" s="196"/>
    </row>
    <row r="39" spans="8:17" s="271" customFormat="1" ht="14.25" customHeight="1" hidden="1">
      <c r="H39">
        <f>сообщения!AJ58</f>
        <v>1</v>
      </c>
      <c r="I39" s="1" t="str">
        <f>сообщения!AK58</f>
        <v> – с визуальной сигнализацией</v>
      </c>
      <c r="J39" s="1"/>
      <c r="K39" s="1"/>
      <c r="Q39" s="196"/>
    </row>
    <row r="40" spans="8:17" s="271" customFormat="1" ht="14.25" customHeight="1" hidden="1">
      <c r="H40">
        <f>сообщения!AJ59</f>
        <v>0</v>
      </c>
      <c r="I40" s="1" t="str">
        <f>сообщения!AK59</f>
        <v> – без визуальной сигнализации</v>
      </c>
      <c r="J40" s="1"/>
      <c r="K40" s="1"/>
      <c r="Q40" s="196"/>
    </row>
    <row r="41" spans="8:17" s="271" customFormat="1" ht="14.25" customHeight="1" hidden="1">
      <c r="H41">
        <f>сообщения!AJ60</f>
        <v>0</v>
      </c>
      <c r="I41" s="1" t="str">
        <f>сообщения!AK60</f>
        <v> – сигнализации по RS нет</v>
      </c>
      <c r="J41" s="1"/>
      <c r="K41" s="1"/>
      <c r="Q41" s="196"/>
    </row>
    <row r="42" spans="8:17" s="271" customFormat="1" ht="14.25" customHeight="1" hidden="1">
      <c r="H42" s="811" t="str">
        <f>сообщения!AJ61</f>
        <v>-=A5</v>
      </c>
      <c r="I42" s="1" t="str">
        <f>сообщения!AK61</f>
        <v> – напряжение питания от встроенного аккумулятора</v>
      </c>
      <c r="J42" s="1"/>
      <c r="K42" s="1"/>
      <c r="Q42" s="196"/>
    </row>
    <row r="43" spans="10:17" s="271" customFormat="1" ht="14.25" customHeight="1" hidden="1">
      <c r="J43" s="1"/>
      <c r="K43" s="1"/>
      <c r="Q43" s="196"/>
    </row>
    <row r="44" spans="10:17" s="271" customFormat="1" ht="14.25" customHeight="1" hidden="1">
      <c r="J44" s="1"/>
      <c r="K44" s="1"/>
      <c r="Q44" s="196"/>
    </row>
    <row r="45" spans="10:17" s="271" customFormat="1" ht="14.25" customHeight="1" hidden="1">
      <c r="J45" s="1"/>
      <c r="K45" s="1"/>
      <c r="Q45" s="196"/>
    </row>
    <row r="46" spans="10:17" s="271" customFormat="1" ht="14.25" customHeight="1" hidden="1">
      <c r="J46" s="1"/>
      <c r="K46" s="1"/>
      <c r="Q46" s="196"/>
    </row>
    <row r="47" spans="8:17" s="271" customFormat="1" ht="14.25" customHeight="1" hidden="1">
      <c r="H47" t="s">
        <v>307</v>
      </c>
      <c r="J47" s="1"/>
      <c r="K47" s="1"/>
      <c r="Q47" s="196"/>
    </row>
    <row r="48" spans="8:17" s="271" customFormat="1" ht="14.25" customHeight="1" hidden="1">
      <c r="H48" t="s">
        <v>573</v>
      </c>
      <c r="I48" s="196"/>
      <c r="J48" s="1"/>
      <c r="K48" s="1"/>
      <c r="Q48" s="196"/>
    </row>
    <row r="49" spans="9:17" s="271" customFormat="1" ht="14.25" customHeight="1" hidden="1">
      <c r="I49" s="196"/>
      <c r="J49" s="1"/>
      <c r="K49" s="1"/>
      <c r="Q49" s="196"/>
    </row>
    <row r="50" spans="9:17" s="271" customFormat="1" ht="14.25" customHeight="1">
      <c r="I50" s="196"/>
      <c r="J50" s="1"/>
      <c r="K50" s="1"/>
      <c r="Q50" s="196"/>
    </row>
    <row r="51" spans="9:17" s="271" customFormat="1" ht="14.25" customHeight="1">
      <c r="I51" s="196"/>
      <c r="J51" s="1"/>
      <c r="K51" s="1"/>
      <c r="Q51" s="196"/>
    </row>
    <row r="52" spans="9:17" s="271" customFormat="1" ht="15.75" customHeight="1">
      <c r="I52" s="196"/>
      <c r="J52" s="1"/>
      <c r="K52" s="1"/>
      <c r="Q52" s="196"/>
    </row>
    <row r="53" spans="9:17" s="271" customFormat="1" ht="15.75" customHeight="1">
      <c r="I53" s="196"/>
      <c r="J53" s="1"/>
      <c r="K53" s="1"/>
      <c r="Q53" s="196"/>
    </row>
    <row r="54" spans="9:17" s="271" customFormat="1" ht="15.75" customHeight="1">
      <c r="I54" s="196"/>
      <c r="J54" s="1"/>
      <c r="K54" s="1"/>
      <c r="Q54" s="196"/>
    </row>
  </sheetData>
  <sheetProtection selectLockedCells="1" selectUnlockedCells="1"/>
  <mergeCells count="2">
    <mergeCell ref="L1:N4"/>
    <mergeCell ref="G16:H22"/>
  </mergeCells>
  <dataValidations count="2">
    <dataValidation type="list" allowBlank="1" showInputMessage="1" showErrorMessage="1" sqref="H2">
      <formula1>$H$47:$H$48</formula1>
    </dataValidation>
    <dataValidation type="whole" allowBlank="1" showInputMessage="1" showErrorMessage="1" errorTitle="ВНИМАНИЕ" error="В приборах с выносным блоком датчика длина кабеля должна быть не менее 1  и не более 30 метров" sqref="L7">
      <formula1>1</formula1>
      <formula2>30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64"/>
  <sheetViews>
    <sheetView zoomScalePageLayoutView="0" workbookViewId="0" topLeftCell="A1">
      <selection activeCell="C7" sqref="C7"/>
    </sheetView>
  </sheetViews>
  <sheetFormatPr defaultColWidth="8.875" defaultRowHeight="12.75"/>
  <cols>
    <col min="1" max="1" width="6.25390625" style="1" customWidth="1"/>
    <col min="2" max="2" width="13.125" style="1" customWidth="1"/>
    <col min="3" max="3" width="10.375" style="1" customWidth="1"/>
    <col min="4" max="4" width="10.75390625" style="1" customWidth="1"/>
    <col min="5" max="5" width="25.25390625" style="1" customWidth="1"/>
    <col min="6" max="6" width="16.75390625" style="1" customWidth="1"/>
    <col min="7" max="7" width="48.625" style="1" customWidth="1"/>
    <col min="8" max="10" width="15.75390625" style="1" customWidth="1"/>
    <col min="11" max="11" width="13.875" style="1" hidden="1" customWidth="1"/>
    <col min="12" max="12" width="13.875" style="239" hidden="1" customWidth="1"/>
    <col min="13" max="15" width="13.875" style="196" hidden="1" customWidth="1"/>
    <col min="16" max="33" width="13.875" style="1" hidden="1" customWidth="1"/>
    <col min="34" max="34" width="13.875" style="1" customWidth="1"/>
    <col min="35" max="35" width="6.375" style="1" customWidth="1"/>
    <col min="36" max="56" width="9.75390625" style="1" customWidth="1"/>
    <col min="57" max="16384" width="8.875" style="1" customWidth="1"/>
  </cols>
  <sheetData>
    <row r="1" spans="1:16" ht="15" customHeight="1">
      <c r="A1" s="200" t="s">
        <v>346</v>
      </c>
      <c r="B1" s="240"/>
      <c r="C1" s="240"/>
      <c r="D1" s="240"/>
      <c r="H1" s="199"/>
      <c r="I1" s="1116"/>
      <c r="J1" s="1116"/>
      <c r="L1" s="1"/>
      <c r="M1" s="1"/>
      <c r="N1" s="1"/>
      <c r="O1" s="1"/>
      <c r="P1" s="241"/>
    </row>
    <row r="2" spans="1:16" ht="12" customHeight="1">
      <c r="A2" s="242" t="s">
        <v>778</v>
      </c>
      <c r="C2" s="240"/>
      <c r="D2" s="240"/>
      <c r="E2" s="240"/>
      <c r="F2" s="240"/>
      <c r="G2" s="240"/>
      <c r="H2" s="240"/>
      <c r="I2" s="1116"/>
      <c r="J2" s="1116"/>
      <c r="L2" s="1"/>
      <c r="M2" s="1"/>
      <c r="N2" s="1"/>
      <c r="O2" s="1"/>
      <c r="P2" s="243"/>
    </row>
    <row r="3" spans="1:15" ht="12" customHeight="1">
      <c r="A3" s="240" t="s">
        <v>348</v>
      </c>
      <c r="B3" s="240"/>
      <c r="C3" s="240"/>
      <c r="D3" s="240"/>
      <c r="E3" s="240"/>
      <c r="F3" s="240"/>
      <c r="G3" s="240"/>
      <c r="H3" s="240"/>
      <c r="I3" s="1116"/>
      <c r="J3" s="1116"/>
      <c r="L3" s="1"/>
      <c r="M3" s="1"/>
      <c r="N3" s="1"/>
      <c r="O3" s="1"/>
    </row>
    <row r="4" spans="1:15" ht="15.75" customHeight="1" thickBot="1">
      <c r="A4" s="240" t="s">
        <v>928</v>
      </c>
      <c r="B4" s="240" t="s">
        <v>305</v>
      </c>
      <c r="C4" s="240"/>
      <c r="D4" s="240"/>
      <c r="E4" s="240"/>
      <c r="F4" s="1008"/>
      <c r="G4" s="240"/>
      <c r="H4" s="240"/>
      <c r="I4" s="1116"/>
      <c r="J4" s="1116"/>
      <c r="L4" s="1"/>
      <c r="M4" s="1"/>
      <c r="N4" s="1"/>
      <c r="O4" s="1"/>
    </row>
    <row r="5" spans="1:15" ht="13.5" thickBot="1">
      <c r="A5" s="1009"/>
      <c r="B5" s="1010" t="s">
        <v>349</v>
      </c>
      <c r="C5" s="1011" t="s">
        <v>342</v>
      </c>
      <c r="D5" s="954"/>
      <c r="E5" s="954"/>
      <c r="F5" s="1012"/>
      <c r="G5" s="1013"/>
      <c r="H5" s="1007"/>
      <c r="I5" s="1116"/>
      <c r="J5" s="1116"/>
      <c r="L5" s="210" t="s">
        <v>310</v>
      </c>
      <c r="N5" s="559" t="str">
        <f>IF(OR(G7="углеводороды не определяются селективно",G7="превышение числа каналов",G7="данные не введены"),"проверьте ввод данных",ROUND(O38,-1))</f>
        <v>проверьте ввод данных</v>
      </c>
      <c r="O5" s="1"/>
    </row>
    <row r="6" spans="1:33" ht="28.5" customHeight="1" thickBot="1">
      <c r="A6" s="1014"/>
      <c r="B6" s="276" t="s">
        <v>312</v>
      </c>
      <c r="C6" s="277" t="s">
        <v>351</v>
      </c>
      <c r="D6" s="545" t="s">
        <v>305</v>
      </c>
      <c r="E6" s="545"/>
      <c r="F6" s="520" t="s">
        <v>314</v>
      </c>
      <c r="G6" s="1015" t="s">
        <v>344</v>
      </c>
      <c r="H6" s="908" t="s">
        <v>352</v>
      </c>
      <c r="I6" s="761" t="s">
        <v>298</v>
      </c>
      <c r="J6" s="247"/>
      <c r="L6" s="377" t="s">
        <v>345</v>
      </c>
      <c r="N6" s="248"/>
      <c r="O6" s="214">
        <f>IF(N7="","",N7)</f>
      </c>
      <c r="P6" s="214">
        <f>IF(N8="","",N8)</f>
      </c>
      <c r="Q6" s="214">
        <f>IF(N9="","",N9)</f>
      </c>
      <c r="R6" s="214">
        <f>IF(N10="","",N10)</f>
      </c>
      <c r="S6" s="490">
        <f>IF(N11="","",N11)</f>
      </c>
      <c r="T6" s="215">
        <f>IF(N12="","",N12)</f>
      </c>
      <c r="U6" s="215">
        <f>IF(N13="","",N13)</f>
      </c>
      <c r="V6" s="215">
        <f>IF(N15="","",N15)</f>
      </c>
      <c r="W6" s="215">
        <f>IF(N16="","",N16)</f>
      </c>
      <c r="X6" s="215">
        <f>IF(N17="","",N17)</f>
      </c>
      <c r="Y6" s="215">
        <f>IF(N18="","",N18)</f>
      </c>
      <c r="Z6" s="215">
        <f>IF(N19="","",N19)</f>
      </c>
      <c r="AA6" s="215">
        <f>IF(N20="","",N20)</f>
      </c>
      <c r="AB6" s="215">
        <f>IF(N21="","",N21)</f>
      </c>
      <c r="AC6" s="215">
        <f>IF(N22="","",N22)</f>
      </c>
      <c r="AD6" s="215">
        <f>IF(N23="","",N23)</f>
      </c>
      <c r="AE6" s="215">
        <f>IF(N24="","",N24)</f>
      </c>
      <c r="AF6" s="215">
        <f>IF(N25="","",N25)</f>
      </c>
      <c r="AG6" s="216">
        <f>CONCATENATE(AG7,AG8,AG9,AG10,AG11,AG12,AG13,AG15,AG16,AG17,AG18,AG19,AG20,AG21,AG22,AG23,AG24,AG25)</f>
      </c>
    </row>
    <row r="7" spans="1:33" ht="15" customHeight="1" thickBot="1">
      <c r="A7" s="1016"/>
      <c r="B7" s="278" t="s">
        <v>320</v>
      </c>
      <c r="C7" s="279"/>
      <c r="D7" s="1017" t="str">
        <f>IF(SUM(C$7:C$21)&gt;4,"&lt;- сумма не должна быть более 4",IF(OR(C7=2,C7=3,C7=4,AND(C$11&gt;0,C7&gt;0)),"&lt;- уменьшите количество каналов",IF(OR(SUM(C$7:C$21)=4,AND(C$11=1,I$31=1)),"&lt;- дальнейший ввод невозможен",IF(C7=1,"","&lt;- введите данные, если необходимо"))))</f>
        <v>&lt;- введите данные, если необходимо</v>
      </c>
      <c r="E7" s="545"/>
      <c r="F7" s="513" t="s">
        <v>321</v>
      </c>
      <c r="G7" s="1018" t="str">
        <f>IF(OR(I31&gt;4,SUM(C8:C13)&gt;1,SUM(C14:C23)&gt;2),"превышение числа каналов",IF(AND(C10=1,I31&gt;1),"превышение числа каналов",J30))</f>
        <v>данные не введены</v>
      </c>
      <c r="H7" s="522">
        <f aca="true" t="shared" si="0" ref="H7:H23">IF($C7=1,CONCATENATE("-",$B7),"")</f>
      </c>
      <c r="I7" s="483">
        <f aca="true" t="shared" si="1" ref="I7:I23">IF(H7="",0,1)</f>
        <v>0</v>
      </c>
      <c r="L7" s="492">
        <f>IF(C7&gt;0,ПГ!S7,"")</f>
      </c>
      <c r="N7" s="218">
        <f>MID(H7,2,9)</f>
      </c>
      <c r="O7" s="219">
        <f>IF(IF(ISNA(INDEX(СГИ!$Q$3:$AJ$22,VLOOKUP($N7,СГИ!$O$3:$P$22,2),HLOOKUP(O$6,СГИ!$Q$1:$AJ$2,2))),"",INDEX(СГИ!$Q$3:$AJ$22,VLOOKUP($N7,СГИ!$O$3:$P$22,2),HLOOKUP(O$6,СГИ!$Q$1:$AJ$2,2)))=1,CONCATENATE("при измерении ",$N7," ",O$6," не допускается ! "),"")</f>
      </c>
      <c r="P7" s="219">
        <f>IF(IF(ISNA(INDEX(СГИ!$Q$3:$AJ$22,VLOOKUP($N7,СГИ!$O$3:$P$22,2),HLOOKUP(P$6,СГИ!$Q$1:$AJ$2,2))),"",INDEX(СГИ!$Q$3:$AJ$22,VLOOKUP($N7,СГИ!$O$3:$P$22,2),HLOOKUP(P$6,СГИ!$Q$1:$AJ$2,2)))=1,CONCATENATE("при измерении ",$N7," ",P$6," не допускается ! "),"")</f>
      </c>
      <c r="Q7" s="219">
        <f>IF(IF(ISNA(INDEX(СГИ!$Q$3:$AJ$22,VLOOKUP($N7,СГИ!$O$3:$P$22,2),HLOOKUP(Q$6,СГИ!$Q$1:$AJ$2,2))),"",INDEX(СГИ!$Q$3:$AJ$22,VLOOKUP($N7,СГИ!$O$3:$P$22,2),HLOOKUP(Q$6,СГИ!$Q$1:$AJ$2,2)))=1,CONCATENATE("при измерении ",$N7," ",Q$6," не допускается ! "),"")</f>
      </c>
      <c r="R7" s="219">
        <f>IF(IF(ISNA(INDEX(СГИ!$Q$3:$AJ$22,VLOOKUP($N7,СГИ!$O$3:$P$22,2),HLOOKUP(R$6,СГИ!$Q$1:$AJ$2,2))),"",INDEX(СГИ!$Q$3:$AJ$22,VLOOKUP($N7,СГИ!$O$3:$P$22,2),HLOOKUP(R$6,СГИ!$Q$1:$AJ$2,2)))=1,CONCATENATE("при измерении ",$N7," ",R$6," не допускается ! "),"")</f>
      </c>
      <c r="S7" s="219">
        <f>IF(IF(ISNA(INDEX(СГИ!$Q$3:$AJ$22,VLOOKUP($N7,СГИ!$O$3:$P$22,2),HLOOKUP(S$6,СГИ!$Q$1:$AJ$2,2))),"",INDEX(СГИ!$Q$3:$AJ$22,VLOOKUP($N7,СГИ!$O$3:$P$22,2),HLOOKUP(S$6,СГИ!$Q$1:$AJ$2,2)))=1,CONCATENATE("при измерении ",$N7," ",S$6," не допускается ! "),"")</f>
      </c>
      <c r="T7" s="219">
        <f>IF(IF(ISNA(INDEX(СГИ!$Q$3:$AJ$22,VLOOKUP($N7,СГИ!$O$3:$P$22,2),HLOOKUP(T$6,СГИ!$Q$1:$AJ$2,2))),"",INDEX(СГИ!$Q$3:$AJ$22,VLOOKUP($N7,СГИ!$O$3:$P$22,2),HLOOKUP(T$6,СГИ!$Q$1:$AJ$2,2)))=1,CONCATENATE("при измерении ",$N7," ",T$6," не допускается ! "),"")</f>
      </c>
      <c r="U7" s="219">
        <f>IF(IF(ISNA(INDEX(СГИ!$Q$3:$AJ$22,VLOOKUP($N7,СГИ!$O$3:$P$22,2),HLOOKUP(U$6,СГИ!$Q$1:$AJ$2,2))),"",INDEX(СГИ!$Q$3:$AJ$22,VLOOKUP($N7,СГИ!$O$3:$P$22,2),HLOOKUP(U$6,СГИ!$Q$1:$AJ$2,2)))=1,CONCATENATE("при измерении ",$N7," ",U$6," не допускается ! "),"")</f>
      </c>
      <c r="V7" s="219">
        <f>IF(IF(ISNA(INDEX(СГИ!$Q$3:$AJ$22,VLOOKUP($N7,СГИ!$O$3:$P$22,2),HLOOKUP(V$6,СГИ!$Q$1:$AJ$2,2))),"",INDEX(СГИ!$Q$3:$AJ$22,VLOOKUP($N7,СГИ!$O$3:$P$22,2),HLOOKUP(V$6,СГИ!$Q$1:$AJ$2,2)))=1,CONCATENATE("при измерении ",$N7," ",V$6," не допускается ! "),"")</f>
      </c>
      <c r="W7" s="219">
        <f>IF(IF(ISNA(INDEX(СГИ!$Q$3:$AJ$22,VLOOKUP($N7,СГИ!$O$3:$P$22,2),HLOOKUP(W$6,СГИ!$Q$1:$AJ$2,2))),"",INDEX(СГИ!$Q$3:$AJ$22,VLOOKUP($N7,СГИ!$O$3:$P$22,2),HLOOKUP(W$6,СГИ!$Q$1:$AJ$2,2)))=1,CONCATENATE("при измерении ",$N7," ",W$6," не допускается ! "),"")</f>
      </c>
      <c r="X7" s="219">
        <f>IF(IF(ISNA(INDEX(СГИ!$Q$3:$AJ$22,VLOOKUP($N7,СГИ!$O$3:$P$22,2),HLOOKUP(X$6,СГИ!$Q$1:$AJ$2,2))),"",INDEX(СГИ!$Q$3:$AJ$22,VLOOKUP($N7,СГИ!$O$3:$P$22,2),HLOOKUP(X$6,СГИ!$Q$1:$AJ$2,2)))=1,CONCATENATE("при измерении ",$N7," ",X$6," не допускается ! "),"")</f>
      </c>
      <c r="Y7" s="219">
        <f>IF(IF(ISNA(INDEX(СГИ!$Q$3:$AJ$22,VLOOKUP($N7,СГИ!$O$3:$P$22,2),HLOOKUP(Y$6,СГИ!$Q$1:$AJ$2,2))),"",INDEX(СГИ!$Q$3:$AJ$22,VLOOKUP($N7,СГИ!$O$3:$P$22,2),HLOOKUP(Y$6,СГИ!$Q$1:$AJ$2,2)))=1,CONCATENATE("при измерении ",$N7," ",Y$6," не допускается ! "),"")</f>
      </c>
      <c r="Z7" s="219">
        <f>IF(IF(ISNA(INDEX(СГИ!$Q$3:$AJ$22,VLOOKUP($N7,СГИ!$O$3:$P$22,2),HLOOKUP(Z$6,СГИ!$Q$1:$AJ$2,2))),"",INDEX(СГИ!$Q$3:$AJ$22,VLOOKUP($N7,СГИ!$O$3:$P$22,2),HLOOKUP(Z$6,СГИ!$Q$1:$AJ$2,2)))=1,CONCATENATE("при измерении ",$N7," ",Z$6," не допускается ! "),"")</f>
      </c>
      <c r="AA7" s="219">
        <f>IF(IF(ISNA(INDEX(СГИ!$Q$3:$AJ$22,VLOOKUP($N7,СГИ!$O$3:$P$22,2),HLOOKUP(AA$6,СГИ!$Q$1:$AJ$2,2))),"",INDEX(СГИ!$Q$3:$AJ$22,VLOOKUP($N7,СГИ!$O$3:$P$22,2),HLOOKUP(AA$6,СГИ!$Q$1:$AJ$2,2)))=1,CONCATENATE("при измерении ",$N7," ",AA$6," не допускается ! "),"")</f>
      </c>
      <c r="AB7" s="219">
        <f>IF(IF(ISNA(INDEX(СГИ!$Q$3:$AJ$22,VLOOKUP($N7,СГИ!$O$3:$P$22,2),HLOOKUP(AB$6,СГИ!$Q$1:$AJ$2,2))),"",INDEX(СГИ!$Q$3:$AJ$22,VLOOKUP($N7,СГИ!$O$3:$P$22,2),HLOOKUP(AB$6,СГИ!$Q$1:$AJ$2,2)))=1,CONCATENATE("при измерении ",$N7," ",AB$6," не допускается ! "),"")</f>
      </c>
      <c r="AC7" s="219">
        <f>IF(IF(ISNA(INDEX(СГИ!$Q$3:$AJ$22,VLOOKUP($N7,СГИ!$O$3:$P$22,2),HLOOKUP(AC$6,СГИ!$Q$1:$AJ$2,2))),"",INDEX(СГИ!$Q$3:$AJ$22,VLOOKUP($N7,СГИ!$O$3:$P$22,2),HLOOKUP(AC$6,СГИ!$Q$1:$AJ$2,2)))=1,CONCATENATE("при измерении ",$N7," ",AC$6," не допускается ! "),"")</f>
      </c>
      <c r="AD7" s="219">
        <f>IF(IF(ISNA(INDEX(СГИ!$Q$3:$AJ$22,VLOOKUP($N7,СГИ!$O$3:$P$22,2),HLOOKUP(AD$6,СГИ!$Q$1:$AJ$2,2))),"",INDEX(СГИ!$Q$3:$AJ$22,VLOOKUP($N7,СГИ!$O$3:$P$22,2),HLOOKUP(AD$6,СГИ!$Q$1:$AJ$2,2)))=1,CONCATENATE("при измерении ",$N7," ",AD$6," не допускается ! "),"")</f>
      </c>
      <c r="AE7" s="219">
        <f>IF(IF(ISNA(INDEX(СГИ!$Q$3:$AJ$22,VLOOKUP($N7,СГИ!$O$3:$P$22,2),HLOOKUP(AE$6,СГИ!$Q$1:$AJ$2,2))),"",INDEX(СГИ!$Q$3:$AJ$22,VLOOKUP($N7,СГИ!$O$3:$P$22,2),HLOOKUP(AE$6,СГИ!$Q$1:$AJ$2,2)))=1,CONCATENATE("при измерении ",$N7," ",AE$6," не допускается ! "),"")</f>
      </c>
      <c r="AF7" s="254">
        <f>IF(IF(ISNA(INDEX(СГИ!$Q$3:$AJ$22,VLOOKUP($N7,СГИ!$O$3:$P$22,2),HLOOKUP(AF$6,СГИ!$Q$1:$AJ$2,2))),"",INDEX(СГИ!$Q$3:$AJ$22,VLOOKUP($N7,СГИ!$O$3:$P$22,2),HLOOKUP(AF$6,СГИ!$Q$1:$AJ$2,2)))=1,CONCATENATE("при измерении ",$N7," ",AF$6," не допускается ! "),"")</f>
      </c>
      <c r="AG7">
        <f aca="true" t="shared" si="2" ref="AG7:AG25">CONCATENATE(O7,P7,Q7,R7,S7,T7,U7,V7,W7,X7,Y7,Z7,AA7,AB7,AC7,AD7,AE7,AF7)</f>
      </c>
    </row>
    <row r="8" spans="1:33" ht="15" customHeight="1" thickBot="1">
      <c r="A8" s="1014"/>
      <c r="B8" s="222" t="s">
        <v>323</v>
      </c>
      <c r="C8" s="280"/>
      <c r="D8" s="1017" t="str">
        <f>IF(SUM(C$7:C$21)&gt;4,"&lt;- сумма не должна быть более 4",IF(OR(C8=2,C8=3,C8=4,AND(C$11&gt;0,C8&gt;0)),"&lt;- уменьшите количество каналов",IF(OR(SUM(C$7:C$21)=4,AND(C$11=1,I$31=1)),"&lt;- дальнейший ввод невозможен",IF(C8=1,"","&lt;- введите данные, если необходимо"))))</f>
        <v>&lt;- введите данные, если необходимо</v>
      </c>
      <c r="E8" s="545"/>
      <c r="F8" s="525"/>
      <c r="G8" s="1019">
        <f>AG6</f>
      </c>
      <c r="H8" s="523">
        <f t="shared" si="0"/>
      </c>
      <c r="I8" s="485">
        <f t="shared" si="1"/>
        <v>0</v>
      </c>
      <c r="L8" s="493">
        <f>IF(C8&gt;0,ПГ!S8,"")</f>
      </c>
      <c r="N8" s="218">
        <f>MID(H8,2,9)</f>
      </c>
      <c r="O8" s="219">
        <f>IF(IF(ISNA(INDEX(СГИ!$Q$3:$AJ$22,VLOOKUP($N8,СГИ!$O$3:$P$22,2),HLOOKUP(O$6,СГИ!$Q$1:$AJ$2,2))),"",INDEX(СГИ!$Q$3:$AJ$22,VLOOKUP($N8,СГИ!$O$3:$P$22,2),HLOOKUP(O$6,СГИ!$Q$1:$AJ$2,2)))=1,CONCATENATE("при измерении ",$N8," ",O$6," не допускается ! "),"")</f>
      </c>
      <c r="P8" s="219">
        <f>IF(IF(ISNA(INDEX(СГИ!$Q$3:$AJ$22,VLOOKUP($N8,СГИ!$O$3:$P$22,2),HLOOKUP(P$6,СГИ!$Q$1:$AJ$2,2))),"",INDEX(СГИ!$Q$3:$AJ$22,VLOOKUP($N8,СГИ!$O$3:$P$22,2),HLOOKUP(P$6,СГИ!$Q$1:$AJ$2,2)))=1,CONCATENATE("при измерении ",$N8," ",P$6," не допускается ! "),"")</f>
      </c>
      <c r="Q8" s="219">
        <f>IF(IF(ISNA(INDEX(СГИ!$Q$3:$AJ$22,VLOOKUP($N8,СГИ!$O$3:$P$22,2),HLOOKUP(Q$6,СГИ!$Q$1:$AJ$2,2))),"",INDEX(СГИ!$Q$3:$AJ$22,VLOOKUP($N8,СГИ!$O$3:$P$22,2),HLOOKUP(Q$6,СГИ!$Q$1:$AJ$2,2)))=1,CONCATENATE("при измерении ",$N8," ",Q$6," не допускается ! "),"")</f>
      </c>
      <c r="R8" s="219">
        <f>IF(IF(ISNA(INDEX(СГИ!$Q$3:$AJ$22,VLOOKUP($N8,СГИ!$O$3:$P$22,2),HLOOKUP(R$6,СГИ!$Q$1:$AJ$2,2))),"",INDEX(СГИ!$Q$3:$AJ$22,VLOOKUP($N8,СГИ!$O$3:$P$22,2),HLOOKUP(R$6,СГИ!$Q$1:$AJ$2,2)))=1,CONCATENATE("при измерении ",$N8," ",R$6," не допускается ! "),"")</f>
      </c>
      <c r="S8" s="219">
        <f>IF(IF(ISNA(INDEX(СГИ!$Q$3:$AJ$22,VLOOKUP($N8,СГИ!$O$3:$P$22,2),HLOOKUP(S$6,СГИ!$Q$1:$AJ$2,2))),"",INDEX(СГИ!$Q$3:$AJ$22,VLOOKUP($N8,СГИ!$O$3:$P$22,2),HLOOKUP(S$6,СГИ!$Q$1:$AJ$2,2)))=1,CONCATENATE("при измерении ",$N8," ",S$6," не допускается ! "),"")</f>
      </c>
      <c r="T8" s="219">
        <f>IF(IF(ISNA(INDEX(СГИ!$Q$3:$AJ$22,VLOOKUP($N8,СГИ!$O$3:$P$22,2),HLOOKUP(T$6,СГИ!$Q$1:$AJ$2,2))),"",INDEX(СГИ!$Q$3:$AJ$22,VLOOKUP($N8,СГИ!$O$3:$P$22,2),HLOOKUP(T$6,СГИ!$Q$1:$AJ$2,2)))=1,CONCATENATE("при измерении ",$N8," ",T$6," не допускается ! "),"")</f>
      </c>
      <c r="U8" s="219">
        <f>IF(IF(ISNA(INDEX(СГИ!$Q$3:$AJ$22,VLOOKUP($N8,СГИ!$O$3:$P$22,2),HLOOKUP(U$6,СГИ!$Q$1:$AJ$2,2))),"",INDEX(СГИ!$Q$3:$AJ$22,VLOOKUP($N8,СГИ!$O$3:$P$22,2),HLOOKUP(U$6,СГИ!$Q$1:$AJ$2,2)))=1,CONCATENATE("при измерении ",$N8," ",U$6," не допускается ! "),"")</f>
      </c>
      <c r="V8" s="219">
        <f>IF(IF(ISNA(INDEX(СГИ!$Q$3:$AJ$22,VLOOKUP($N8,СГИ!$O$3:$P$22,2),HLOOKUP(V$6,СГИ!$Q$1:$AJ$2,2))),"",INDEX(СГИ!$Q$3:$AJ$22,VLOOKUP($N8,СГИ!$O$3:$P$22,2),HLOOKUP(V$6,СГИ!$Q$1:$AJ$2,2)))=1,CONCATENATE("при измерении ",$N8," ",V$6," не допускается ! "),"")</f>
      </c>
      <c r="W8" s="219">
        <f>IF(IF(ISNA(INDEX(СГИ!$Q$3:$AJ$22,VLOOKUP($N8,СГИ!$O$3:$P$22,2),HLOOKUP(W$6,СГИ!$Q$1:$AJ$2,2))),"",INDEX(СГИ!$Q$3:$AJ$22,VLOOKUP($N8,СГИ!$O$3:$P$22,2),HLOOKUP(W$6,СГИ!$Q$1:$AJ$2,2)))=1,CONCATENATE("при измерении ",$N8," ",W$6," не допускается ! "),"")</f>
      </c>
      <c r="X8" s="219">
        <f>IF(IF(ISNA(INDEX(СГИ!$Q$3:$AJ$22,VLOOKUP($N8,СГИ!$O$3:$P$22,2),HLOOKUP(X$6,СГИ!$Q$1:$AJ$2,2))),"",INDEX(СГИ!$Q$3:$AJ$22,VLOOKUP($N8,СГИ!$O$3:$P$22,2),HLOOKUP(X$6,СГИ!$Q$1:$AJ$2,2)))=1,CONCATENATE("при измерении ",$N8," ",X$6," не допускается ! "),"")</f>
      </c>
      <c r="Y8" s="219">
        <f>IF(IF(ISNA(INDEX(СГИ!$Q$3:$AJ$22,VLOOKUP($N8,СГИ!$O$3:$P$22,2),HLOOKUP(Y$6,СГИ!$Q$1:$AJ$2,2))),"",INDEX(СГИ!$Q$3:$AJ$22,VLOOKUP($N8,СГИ!$O$3:$P$22,2),HLOOKUP(Y$6,СГИ!$Q$1:$AJ$2,2)))=1,CONCATENATE("при измерении ",$N8," ",Y$6," не допускается ! "),"")</f>
      </c>
      <c r="Z8" s="219">
        <f>IF(IF(ISNA(INDEX(СГИ!$Q$3:$AJ$22,VLOOKUP($N8,СГИ!$O$3:$P$22,2),HLOOKUP(Z$6,СГИ!$Q$1:$AJ$2,2))),"",INDEX(СГИ!$Q$3:$AJ$22,VLOOKUP($N8,СГИ!$O$3:$P$22,2),HLOOKUP(Z$6,СГИ!$Q$1:$AJ$2,2)))=1,CONCATENATE("при измерении ",$N8," ",Z$6," не допускается ! "),"")</f>
      </c>
      <c r="AA8" s="219">
        <f>IF(IF(ISNA(INDEX(СГИ!$Q$3:$AJ$22,VLOOKUP($N8,СГИ!$O$3:$P$22,2),HLOOKUP(AA$6,СГИ!$Q$1:$AJ$2,2))),"",INDEX(СГИ!$Q$3:$AJ$22,VLOOKUP($N8,СГИ!$O$3:$P$22,2),HLOOKUP(AA$6,СГИ!$Q$1:$AJ$2,2)))=1,CONCATENATE("при измерении ",$N8," ",AA$6," не допускается ! "),"")</f>
      </c>
      <c r="AB8" s="219">
        <f>IF(IF(ISNA(INDEX(СГИ!$Q$3:$AJ$22,VLOOKUP($N8,СГИ!$O$3:$P$22,2),HLOOKUP(AB$6,СГИ!$Q$1:$AJ$2,2))),"",INDEX(СГИ!$Q$3:$AJ$22,VLOOKUP($N8,СГИ!$O$3:$P$22,2),HLOOKUP(AB$6,СГИ!$Q$1:$AJ$2,2)))=1,CONCATENATE("при измерении ",$N8," ",AB$6," не допускается ! "),"")</f>
      </c>
      <c r="AC8" s="219">
        <f>IF(IF(ISNA(INDEX(СГИ!$Q$3:$AJ$22,VLOOKUP($N8,СГИ!$O$3:$P$22,2),HLOOKUP(AC$6,СГИ!$Q$1:$AJ$2,2))),"",INDEX(СГИ!$Q$3:$AJ$22,VLOOKUP($N8,СГИ!$O$3:$P$22,2),HLOOKUP(AC$6,СГИ!$Q$1:$AJ$2,2)))=1,CONCATENATE("при измерении ",$N8," ",AC$6," не допускается ! "),"")</f>
      </c>
      <c r="AD8" s="219">
        <f>IF(IF(ISNA(INDEX(СГИ!$Q$3:$AJ$22,VLOOKUP($N8,СГИ!$O$3:$P$22,2),HLOOKUP(AD$6,СГИ!$Q$1:$AJ$2,2))),"",INDEX(СГИ!$Q$3:$AJ$22,VLOOKUP($N8,СГИ!$O$3:$P$22,2),HLOOKUP(AD$6,СГИ!$Q$1:$AJ$2,2)))=1,CONCATENATE("при измерении ",$N8," ",AD$6," не допускается ! "),"")</f>
      </c>
      <c r="AE8" s="219">
        <f>IF(IF(ISNA(INDEX(СГИ!$Q$3:$AJ$22,VLOOKUP($N8,СГИ!$O$3:$P$22,2),HLOOKUP(AE$6,СГИ!$Q$1:$AJ$2,2))),"",INDEX(СГИ!$Q$3:$AJ$22,VLOOKUP($N8,СГИ!$O$3:$P$22,2),HLOOKUP(AE$6,СГИ!$Q$1:$AJ$2,2)))=1,CONCATENATE("при измерении ",$N8," ",AE$6," не допускается ! "),"")</f>
      </c>
      <c r="AF8" s="254">
        <f>IF(IF(ISNA(INDEX(СГИ!$Q$3:$AJ$22,VLOOKUP($N8,СГИ!$O$3:$P$22,2),HLOOKUP(AF$6,СГИ!$Q$1:$AJ$2,2))),"",INDEX(СГИ!$Q$3:$AJ$22,VLOOKUP($N8,СГИ!$O$3:$P$22,2),HLOOKUP(AF$6,СГИ!$Q$1:$AJ$2,2)))=1,CONCATENATE("при измерении ",$N8," ",AF$6," не допускается ! "),"")</f>
      </c>
      <c r="AG8">
        <f t="shared" si="2"/>
      </c>
    </row>
    <row r="9" spans="1:33" ht="15" customHeight="1" thickBot="1">
      <c r="A9" s="1020"/>
      <c r="B9" s="222" t="s">
        <v>326</v>
      </c>
      <c r="C9" s="280"/>
      <c r="D9" s="1021"/>
      <c r="E9" s="1022"/>
      <c r="F9" s="498"/>
      <c r="G9" s="1023">
        <f>IF(AND(G8="взрывозащита не предусмотрена",G7=""),"ниже - цена без взрывозащиты","")</f>
      </c>
      <c r="H9" s="522">
        <f t="shared" si="0"/>
      </c>
      <c r="I9" s="483">
        <f t="shared" si="1"/>
        <v>0</v>
      </c>
      <c r="L9" s="493">
        <f>IF(C9&gt;0,ПГ!S9,"")</f>
      </c>
      <c r="N9" s="218">
        <f>MID(H9,2,9)</f>
      </c>
      <c r="O9" s="219">
        <f>IF(IF(ISNA(INDEX(СГИ!$Q$3:$AJ$22,VLOOKUP($N9,СГИ!$O$3:$P$22,2),HLOOKUP(O$6,СГИ!$Q$1:$AJ$2,2))),"",INDEX(СГИ!$Q$3:$AJ$22,VLOOKUP($N9,СГИ!$O$3:$P$22,2),HLOOKUP(O$6,СГИ!$Q$1:$AJ$2,2)))=1,CONCATENATE("при измерении ",$N9," ",O$6," не допускается ! "),"")</f>
      </c>
      <c r="P9" s="219">
        <f>IF(IF(ISNA(INDEX(СГИ!$Q$3:$AJ$22,VLOOKUP($N9,СГИ!$O$3:$P$22,2),HLOOKUP(P$6,СГИ!$Q$1:$AJ$2,2))),"",INDEX(СГИ!$Q$3:$AJ$22,VLOOKUP($N9,СГИ!$O$3:$P$22,2),HLOOKUP(P$6,СГИ!$Q$1:$AJ$2,2)))=1,CONCATENATE("при измерении ",$N9," ",P$6," не допускается ! "),"")</f>
      </c>
      <c r="Q9" s="219">
        <f>IF(IF(ISNA(INDEX(СГИ!$Q$3:$AJ$22,VLOOKUP($N9,СГИ!$O$3:$P$22,2),HLOOKUP(Q$6,СГИ!$Q$1:$AJ$2,2))),"",INDEX(СГИ!$Q$3:$AJ$22,VLOOKUP($N9,СГИ!$O$3:$P$22,2),HLOOKUP(Q$6,СГИ!$Q$1:$AJ$2,2)))=1,CONCATENATE("при измерении ",$N9," ",Q$6," не допускается ! "),"")</f>
      </c>
      <c r="R9" s="219">
        <f>IF(IF(ISNA(INDEX(СГИ!$Q$3:$AJ$22,VLOOKUP($N9,СГИ!$O$3:$P$22,2),HLOOKUP(R$6,СГИ!$Q$1:$AJ$2,2))),"",INDEX(СГИ!$Q$3:$AJ$22,VLOOKUP($N9,СГИ!$O$3:$P$22,2),HLOOKUP(R$6,СГИ!$Q$1:$AJ$2,2)))=1,CONCATENATE("при измерении ",$N9," ",R$6," не допускается ! "),"")</f>
      </c>
      <c r="S9" s="219">
        <f>IF(IF(ISNA(INDEX(СГИ!$Q$3:$AJ$22,VLOOKUP($N9,СГИ!$O$3:$P$22,2),HLOOKUP(S$6,СГИ!$Q$1:$AJ$2,2))),"",INDEX(СГИ!$Q$3:$AJ$22,VLOOKUP($N9,СГИ!$O$3:$P$22,2),HLOOKUP(S$6,СГИ!$Q$1:$AJ$2,2)))=1,CONCATENATE("при измерении ",$N9," ",S$6," не допускается ! "),"")</f>
      </c>
      <c r="T9" s="219">
        <f>IF(IF(ISNA(INDEX(СГИ!$Q$3:$AJ$22,VLOOKUP($N9,СГИ!$O$3:$P$22,2),HLOOKUP(T$6,СГИ!$Q$1:$AJ$2,2))),"",INDEX(СГИ!$Q$3:$AJ$22,VLOOKUP($N9,СГИ!$O$3:$P$22,2),HLOOKUP(T$6,СГИ!$Q$1:$AJ$2,2)))=1,CONCATENATE("при измерении ",$N9," ",T$6," не допускается ! "),"")</f>
      </c>
      <c r="U9" s="219">
        <f>IF(IF(ISNA(INDEX(СГИ!$Q$3:$AJ$22,VLOOKUP($N9,СГИ!$O$3:$P$22,2),HLOOKUP(U$6,СГИ!$Q$1:$AJ$2,2))),"",INDEX(СГИ!$Q$3:$AJ$22,VLOOKUP($N9,СГИ!$O$3:$P$22,2),HLOOKUP(U$6,СГИ!$Q$1:$AJ$2,2)))=1,CONCATENATE("при измерении ",$N9," ",U$6," не допускается ! "),"")</f>
      </c>
      <c r="V9" s="219">
        <f>IF(IF(ISNA(INDEX(СГИ!$Q$3:$AJ$22,VLOOKUP($N9,СГИ!$O$3:$P$22,2),HLOOKUP(V$6,СГИ!$Q$1:$AJ$2,2))),"",INDEX(СГИ!$Q$3:$AJ$22,VLOOKUP($N9,СГИ!$O$3:$P$22,2),HLOOKUP(V$6,СГИ!$Q$1:$AJ$2,2)))=1,CONCATENATE("при измерении ",$N9," ",V$6," не допускается ! "),"")</f>
      </c>
      <c r="W9" s="219">
        <f>IF(IF(ISNA(INDEX(СГИ!$Q$3:$AJ$22,VLOOKUP($N9,СГИ!$O$3:$P$22,2),HLOOKUP(W$6,СГИ!$Q$1:$AJ$2,2))),"",INDEX(СГИ!$Q$3:$AJ$22,VLOOKUP($N9,СГИ!$O$3:$P$22,2),HLOOKUP(W$6,СГИ!$Q$1:$AJ$2,2)))=1,CONCATENATE("при измерении ",$N9," ",W$6," не допускается ! "),"")</f>
      </c>
      <c r="X9" s="219">
        <f>IF(IF(ISNA(INDEX(СГИ!$Q$3:$AJ$22,VLOOKUP($N9,СГИ!$O$3:$P$22,2),HLOOKUP(X$6,СГИ!$Q$1:$AJ$2,2))),"",INDEX(СГИ!$Q$3:$AJ$22,VLOOKUP($N9,СГИ!$O$3:$P$22,2),HLOOKUP(X$6,СГИ!$Q$1:$AJ$2,2)))=1,CONCATENATE("при измерении ",$N9," ",X$6," не допускается ! "),"")</f>
      </c>
      <c r="Y9" s="219">
        <f>IF(IF(ISNA(INDEX(СГИ!$Q$3:$AJ$22,VLOOKUP($N9,СГИ!$O$3:$P$22,2),HLOOKUP(Y$6,СГИ!$Q$1:$AJ$2,2))),"",INDEX(СГИ!$Q$3:$AJ$22,VLOOKUP($N9,СГИ!$O$3:$P$22,2),HLOOKUP(Y$6,СГИ!$Q$1:$AJ$2,2)))=1,CONCATENATE("при измерении ",$N9," ",Y$6," не допускается ! "),"")</f>
      </c>
      <c r="Z9" s="219">
        <f>IF(IF(ISNA(INDEX(СГИ!$Q$3:$AJ$22,VLOOKUP($N9,СГИ!$O$3:$P$22,2),HLOOKUP(Z$6,СГИ!$Q$1:$AJ$2,2))),"",INDEX(СГИ!$Q$3:$AJ$22,VLOOKUP($N9,СГИ!$O$3:$P$22,2),HLOOKUP(Z$6,СГИ!$Q$1:$AJ$2,2)))=1,CONCATENATE("при измерении ",$N9," ",Z$6," не допускается ! "),"")</f>
      </c>
      <c r="AA9" s="219">
        <f>IF(IF(ISNA(INDEX(СГИ!$Q$3:$AJ$22,VLOOKUP($N9,СГИ!$O$3:$P$22,2),HLOOKUP(AA$6,СГИ!$Q$1:$AJ$2,2))),"",INDEX(СГИ!$Q$3:$AJ$22,VLOOKUP($N9,СГИ!$O$3:$P$22,2),HLOOKUP(AA$6,СГИ!$Q$1:$AJ$2,2)))=1,CONCATENATE("при измерении ",$N9," ",AA$6," не допускается ! "),"")</f>
      </c>
      <c r="AB9" s="219">
        <f>IF(IF(ISNA(INDEX(СГИ!$Q$3:$AJ$22,VLOOKUP($N9,СГИ!$O$3:$P$22,2),HLOOKUP(AB$6,СГИ!$Q$1:$AJ$2,2))),"",INDEX(СГИ!$Q$3:$AJ$22,VLOOKUP($N9,СГИ!$O$3:$P$22,2),HLOOKUP(AB$6,СГИ!$Q$1:$AJ$2,2)))=1,CONCATENATE("при измерении ",$N9," ",AB$6," не допускается ! "),"")</f>
      </c>
      <c r="AC9" s="219">
        <f>IF(IF(ISNA(INDEX(СГИ!$Q$3:$AJ$22,VLOOKUP($N9,СГИ!$O$3:$P$22,2),HLOOKUP(AC$6,СГИ!$Q$1:$AJ$2,2))),"",INDEX(СГИ!$Q$3:$AJ$22,VLOOKUP($N9,СГИ!$O$3:$P$22,2),HLOOKUP(AC$6,СГИ!$Q$1:$AJ$2,2)))=1,CONCATENATE("при измерении ",$N9," ",AC$6," не допускается ! "),"")</f>
      </c>
      <c r="AD9" s="219">
        <f>IF(IF(ISNA(INDEX(СГИ!$Q$3:$AJ$22,VLOOKUP($N9,СГИ!$O$3:$P$22,2),HLOOKUP(AD$6,СГИ!$Q$1:$AJ$2,2))),"",INDEX(СГИ!$Q$3:$AJ$22,VLOOKUP($N9,СГИ!$O$3:$P$22,2),HLOOKUP(AD$6,СГИ!$Q$1:$AJ$2,2)))=1,CONCATENATE("при измерении ",$N9," ",AD$6," не допускается ! "),"")</f>
      </c>
      <c r="AE9" s="219">
        <f>IF(IF(ISNA(INDEX(СГИ!$Q$3:$AJ$22,VLOOKUP($N9,СГИ!$O$3:$P$22,2),HLOOKUP(AE$6,СГИ!$Q$1:$AJ$2,2))),"",INDEX(СГИ!$Q$3:$AJ$22,VLOOKUP($N9,СГИ!$O$3:$P$22,2),HLOOKUP(AE$6,СГИ!$Q$1:$AJ$2,2)))=1,CONCATENATE("при измерении ",$N9," ",AE$6," не допускается ! "),"")</f>
      </c>
      <c r="AF9" s="254">
        <f>IF(IF(ISNA(INDEX(СГИ!$Q$3:$AJ$22,VLOOKUP($N9,СГИ!$O$3:$P$22,2),HLOOKUP(AF$6,СГИ!$Q$1:$AJ$2,2))),"",INDEX(СГИ!$Q$3:$AJ$22,VLOOKUP($N9,СГИ!$O$3:$P$22,2),HLOOKUP(AF$6,СГИ!$Q$1:$AJ$2,2)))=1,CONCATENATE("при измерении ",$N9," ",AF$6," не допускается ! "),"")</f>
      </c>
      <c r="AG9">
        <f t="shared" si="2"/>
      </c>
    </row>
    <row r="10" spans="1:33" ht="15" customHeight="1" thickBot="1">
      <c r="A10" s="1020"/>
      <c r="B10" s="222" t="s">
        <v>469</v>
      </c>
      <c r="C10" s="282"/>
      <c r="D10" s="1017" t="str">
        <f>IF(SUM(C$7:C$21)&gt;4,"&lt;- сумма не должна быть более 4",IF(OR(C10=2,C10=3,C10=4,AND(C$11&gt;0,C10&gt;0)),"&lt;- уменьшите количество каналов",IF(OR(SUM(C$7:C$21)=4,AND(C$11=1,I$31=1)),"&lt;- дальнейший ввод невозможен",IF(C10=1,"","&lt;- введите данные, если необходимо"))))</f>
        <v>&lt;- введите данные, если необходимо</v>
      </c>
      <c r="E10" s="545"/>
      <c r="F10" s="499"/>
      <c r="G10" s="1024">
        <f>IF(AND(G9="взрывозащита не предусмотрена",G8=""),"ниже - цена без взрывозащиты","")</f>
      </c>
      <c r="H10" s="524">
        <f t="shared" si="0"/>
      </c>
      <c r="I10" s="484">
        <f t="shared" si="1"/>
        <v>0</v>
      </c>
      <c r="L10" s="493">
        <f>IF(C10&gt;0,ПГ!S10,"")</f>
      </c>
      <c r="N10" s="218">
        <f>MID(H10,2,9)</f>
      </c>
      <c r="O10" s="219">
        <f>IF(IF(ISNA(INDEX(СГИ!$Q$3:$AJ$22,VLOOKUP($N10,СГИ!$O$3:$P$22,2),HLOOKUP(O$6,СГИ!$Q$1:$AJ$2,2))),"",INDEX(СГИ!$Q$3:$AJ$22,VLOOKUP($N10,СГИ!$O$3:$P$22,2),HLOOKUP(O$6,СГИ!$Q$1:$AJ$2,2)))=1,CONCATENATE("при измерении ",$N10," ",O$6," не допускается ! "),"")</f>
      </c>
      <c r="P10" s="219">
        <f>IF(IF(ISNA(INDEX(СГИ!$Q$3:$AJ$22,VLOOKUP($N10,СГИ!$O$3:$P$22,2),HLOOKUP(P$6,СГИ!$Q$1:$AJ$2,2))),"",INDEX(СГИ!$Q$3:$AJ$22,VLOOKUP($N10,СГИ!$O$3:$P$22,2),HLOOKUP(P$6,СГИ!$Q$1:$AJ$2,2)))=1,CONCATENATE("при измерении ",$N10," ",P$6," не допускается ! "),"")</f>
      </c>
      <c r="Q10" s="219">
        <f>IF(IF(ISNA(INDEX(СГИ!$Q$3:$AJ$22,VLOOKUP($N10,СГИ!$O$3:$P$22,2),HLOOKUP(Q$6,СГИ!$Q$1:$AJ$2,2))),"",INDEX(СГИ!$Q$3:$AJ$22,VLOOKUP($N10,СГИ!$O$3:$P$22,2),HLOOKUP(Q$6,СГИ!$Q$1:$AJ$2,2)))=1,CONCATENATE("при измерении ",$N10," ",Q$6," не допускается ! "),"")</f>
      </c>
      <c r="R10" s="219">
        <f>IF(IF(ISNA(INDEX(СГИ!$Q$3:$AJ$22,VLOOKUP($N10,СГИ!$O$3:$P$22,2),HLOOKUP(R$6,СГИ!$Q$1:$AJ$2,2))),"",INDEX(СГИ!$Q$3:$AJ$22,VLOOKUP($N10,СГИ!$O$3:$P$22,2),HLOOKUP(R$6,СГИ!$Q$1:$AJ$2,2)))=1,CONCATENATE("при измерении ",$N10," ",R$6," не допускается ! "),"")</f>
      </c>
      <c r="S10" s="219">
        <f>IF(IF(ISNA(INDEX(СГИ!$Q$3:$AJ$22,VLOOKUP($N10,СГИ!$O$3:$P$22,2),HLOOKUP(S$6,СГИ!$Q$1:$AJ$2,2))),"",INDEX(СГИ!$Q$3:$AJ$22,VLOOKUP($N10,СГИ!$O$3:$P$22,2),HLOOKUP(S$6,СГИ!$Q$1:$AJ$2,2)))=1,CONCATENATE("при измерении ",$N10," ",S$6," не допускается ! "),"")</f>
      </c>
      <c r="T10" s="219">
        <f>IF(IF(ISNA(INDEX(СГИ!$Q$3:$AJ$22,VLOOKUP($N10,СГИ!$O$3:$P$22,2),HLOOKUP(T$6,СГИ!$Q$1:$AJ$2,2))),"",INDEX(СГИ!$Q$3:$AJ$22,VLOOKUP($N10,СГИ!$O$3:$P$22,2),HLOOKUP(T$6,СГИ!$Q$1:$AJ$2,2)))=1,CONCATENATE("при измерении ",$N10," ",T$6," не допускается ! "),"")</f>
      </c>
      <c r="U10" s="219">
        <f>IF(IF(ISNA(INDEX(СГИ!$Q$3:$AJ$22,VLOOKUP($N10,СГИ!$O$3:$P$22,2),HLOOKUP(U$6,СГИ!$Q$1:$AJ$2,2))),"",INDEX(СГИ!$Q$3:$AJ$22,VLOOKUP($N10,СГИ!$O$3:$P$22,2),HLOOKUP(U$6,СГИ!$Q$1:$AJ$2,2)))=1,CONCATENATE("при измерении ",$N10," ",U$6," не допускается ! "),"")</f>
      </c>
      <c r="V10" s="219">
        <f>IF(IF(ISNA(INDEX(СГИ!$Q$3:$AJ$22,VLOOKUP($N10,СГИ!$O$3:$P$22,2),HLOOKUP(V$6,СГИ!$Q$1:$AJ$2,2))),"",INDEX(СГИ!$Q$3:$AJ$22,VLOOKUP($N10,СГИ!$O$3:$P$22,2),HLOOKUP(V$6,СГИ!$Q$1:$AJ$2,2)))=1,CONCATENATE("при измерении ",$N10," ",V$6," не допускается ! "),"")</f>
      </c>
      <c r="W10" s="219">
        <f>IF(IF(ISNA(INDEX(СГИ!$Q$3:$AJ$22,VLOOKUP($N10,СГИ!$O$3:$P$22,2),HLOOKUP(W$6,СГИ!$Q$1:$AJ$2,2))),"",INDEX(СГИ!$Q$3:$AJ$22,VLOOKUP($N10,СГИ!$O$3:$P$22,2),HLOOKUP(W$6,СГИ!$Q$1:$AJ$2,2)))=1,CONCATENATE("при измерении ",$N10," ",W$6," не допускается ! "),"")</f>
      </c>
      <c r="X10" s="219">
        <f>IF(IF(ISNA(INDEX(СГИ!$Q$3:$AJ$22,VLOOKUP($N10,СГИ!$O$3:$P$22,2),HLOOKUP(X$6,СГИ!$Q$1:$AJ$2,2))),"",INDEX(СГИ!$Q$3:$AJ$22,VLOOKUP($N10,СГИ!$O$3:$P$22,2),HLOOKUP(X$6,СГИ!$Q$1:$AJ$2,2)))=1,CONCATENATE("при измерении ",$N10," ",X$6," не допускается ! "),"")</f>
      </c>
      <c r="Y10" s="219">
        <f>IF(IF(ISNA(INDEX(СГИ!$Q$3:$AJ$22,VLOOKUP($N10,СГИ!$O$3:$P$22,2),HLOOKUP(Y$6,СГИ!$Q$1:$AJ$2,2))),"",INDEX(СГИ!$Q$3:$AJ$22,VLOOKUP($N10,СГИ!$O$3:$P$22,2),HLOOKUP(Y$6,СГИ!$Q$1:$AJ$2,2)))=1,CONCATENATE("при измерении ",$N10," ",Y$6," не допускается ! "),"")</f>
      </c>
      <c r="Z10" s="219">
        <f>IF(IF(ISNA(INDEX(СГИ!$Q$3:$AJ$22,VLOOKUP($N10,СГИ!$O$3:$P$22,2),HLOOKUP(Z$6,СГИ!$Q$1:$AJ$2,2))),"",INDEX(СГИ!$Q$3:$AJ$22,VLOOKUP($N10,СГИ!$O$3:$P$22,2),HLOOKUP(Z$6,СГИ!$Q$1:$AJ$2,2)))=1,CONCATENATE("при измерении ",$N10," ",Z$6," не допускается ! "),"")</f>
      </c>
      <c r="AA10" s="219">
        <f>IF(IF(ISNA(INDEX(СГИ!$Q$3:$AJ$22,VLOOKUP($N10,СГИ!$O$3:$P$22,2),HLOOKUP(AA$6,СГИ!$Q$1:$AJ$2,2))),"",INDEX(СГИ!$Q$3:$AJ$22,VLOOKUP($N10,СГИ!$O$3:$P$22,2),HLOOKUP(AA$6,СГИ!$Q$1:$AJ$2,2)))=1,CONCATENATE("при измерении ",$N10," ",AA$6," не допускается ! "),"")</f>
      </c>
      <c r="AB10" s="219">
        <f>IF(IF(ISNA(INDEX(СГИ!$Q$3:$AJ$22,VLOOKUP($N10,СГИ!$O$3:$P$22,2),HLOOKUP(AB$6,СГИ!$Q$1:$AJ$2,2))),"",INDEX(СГИ!$Q$3:$AJ$22,VLOOKUP($N10,СГИ!$O$3:$P$22,2),HLOOKUP(AB$6,СГИ!$Q$1:$AJ$2,2)))=1,CONCATENATE("при измерении ",$N10," ",AB$6," не допускается ! "),"")</f>
      </c>
      <c r="AC10" s="219">
        <f>IF(IF(ISNA(INDEX(СГИ!$Q$3:$AJ$22,VLOOKUP($N10,СГИ!$O$3:$P$22,2),HLOOKUP(AC$6,СГИ!$Q$1:$AJ$2,2))),"",INDEX(СГИ!$Q$3:$AJ$22,VLOOKUP($N10,СГИ!$O$3:$P$22,2),HLOOKUP(AC$6,СГИ!$Q$1:$AJ$2,2)))=1,CONCATENATE("при измерении ",$N10," ",AC$6," не допускается ! "),"")</f>
      </c>
      <c r="AD10" s="219">
        <f>IF(IF(ISNA(INDEX(СГИ!$Q$3:$AJ$22,VLOOKUP($N10,СГИ!$O$3:$P$22,2),HLOOKUP(AD$6,СГИ!$Q$1:$AJ$2,2))),"",INDEX(СГИ!$Q$3:$AJ$22,VLOOKUP($N10,СГИ!$O$3:$P$22,2),HLOOKUP(AD$6,СГИ!$Q$1:$AJ$2,2)))=1,CONCATENATE("при измерении ",$N10," ",AD$6," не допускается ! "),"")</f>
      </c>
      <c r="AE10" s="219">
        <f>IF(IF(ISNA(INDEX(СГИ!$Q$3:$AJ$22,VLOOKUP($N10,СГИ!$O$3:$P$22,2),HLOOKUP(AE$6,СГИ!$Q$1:$AJ$2,2))),"",INDEX(СГИ!$Q$3:$AJ$22,VLOOKUP($N10,СГИ!$O$3:$P$22,2),HLOOKUP(AE$6,СГИ!$Q$1:$AJ$2,2)))=1,CONCATENATE("при измерении ",$N10," ",AE$6," не допускается ! "),"")</f>
      </c>
      <c r="AF10" s="254">
        <f>IF(IF(ISNA(INDEX(СГИ!$Q$3:$AJ$22,VLOOKUP($N10,СГИ!$O$3:$P$22,2),HLOOKUP(AF$6,СГИ!$Q$1:$AJ$2,2))),"",INDEX(СГИ!$Q$3:$AJ$22,VLOOKUP($N10,СГИ!$O$3:$P$22,2),HLOOKUP(AF$6,СГИ!$Q$1:$AJ$2,2)))=1,CONCATENATE("при измерении ",$N10," ",AF$6," не допускается ! "),"")</f>
      </c>
      <c r="AG10">
        <f t="shared" si="2"/>
      </c>
    </row>
    <row r="11" spans="1:33" ht="15" customHeight="1" thickBot="1">
      <c r="A11" s="1020"/>
      <c r="B11" s="222" t="s">
        <v>327</v>
      </c>
      <c r="C11" s="280"/>
      <c r="D11" s="1017" t="str">
        <f>IF(SUM(C$7:C$21)&gt;4,"&lt;- сумма не должна быть более 4",IF(OR(C11=2,C11=3,C11=4),"&lt;- уменьшите количество каналов",IF(OR(SUM(C$7:C$21)=4,AND(C$11=1,I$31=1)),"&lt;- дальнейший ввод невозможен",IF(C11=1,"","&lt;- введите данные, если необходимо"))))</f>
        <v>&lt;- введите данные, если необходимо</v>
      </c>
      <c r="E11" s="196"/>
      <c r="F11" s="500"/>
      <c r="G11" s="1025"/>
      <c r="H11" s="524">
        <f t="shared" si="0"/>
      </c>
      <c r="I11" s="484">
        <f t="shared" si="1"/>
        <v>0</v>
      </c>
      <c r="L11" s="493">
        <f>IF(C11&gt;0,ПГ!S11,"")</f>
      </c>
      <c r="N11" s="489"/>
      <c r="O11" s="219">
        <f>IF(IF(ISNA(INDEX(СГИ!$Q$3:$AJ$22,VLOOKUP($N11,СГИ!$O$3:$P$22,2),HLOOKUP(O$6,СГИ!$Q$1:$AJ$2,2))),"",INDEX(СГИ!$Q$3:$AJ$22,VLOOKUP($N11,СГИ!$O$3:$P$22,2),HLOOKUP(O$6,СГИ!$Q$1:$AJ$2,2)))=1,CONCATENATE("при измерении ",$N11," ",O$6," не допускается ! "),"")</f>
      </c>
      <c r="P11" s="219">
        <f>IF(IF(ISNA(INDEX(СГИ!$Q$3:$AJ$22,VLOOKUP($N11,СГИ!$O$3:$P$22,2),HLOOKUP(P$6,СГИ!$Q$1:$AJ$2,2))),"",INDEX(СГИ!$Q$3:$AJ$22,VLOOKUP($N11,СГИ!$O$3:$P$22,2),HLOOKUP(P$6,СГИ!$Q$1:$AJ$2,2)))=1,CONCATENATE("при измерении ",$N11," ",P$6," не допускается ! "),"")</f>
      </c>
      <c r="Q11" s="219">
        <f>IF(IF(ISNA(INDEX(СГИ!$Q$3:$AJ$22,VLOOKUP($N11,СГИ!$O$3:$P$22,2),HLOOKUP(Q$6,СГИ!$Q$1:$AJ$2,2))),"",INDEX(СГИ!$Q$3:$AJ$22,VLOOKUP($N11,СГИ!$O$3:$P$22,2),HLOOKUP(Q$6,СГИ!$Q$1:$AJ$2,2)))=1,CONCATENATE("при измерении ",$N11," ",Q$6," не допускается ! "),"")</f>
      </c>
      <c r="R11" s="219">
        <f>IF(IF(ISNA(INDEX(СГИ!$Q$3:$AJ$22,VLOOKUP($N11,СГИ!$O$3:$P$22,2),HLOOKUP(R$6,СГИ!$Q$1:$AJ$2,2))),"",INDEX(СГИ!$Q$3:$AJ$22,VLOOKUP($N11,СГИ!$O$3:$P$22,2),HLOOKUP(R$6,СГИ!$Q$1:$AJ$2,2)))=1,CONCATENATE("при измерении ",$N11," ",R$6," не допускается ! "),"")</f>
      </c>
      <c r="S11" s="219">
        <f>IF(IF(ISNA(INDEX(СГИ!$Q$3:$AJ$22,VLOOKUP($N11,СГИ!$O$3:$P$22,2),HLOOKUP(S$6,СГИ!$Q$1:$AJ$2,2))),"",INDEX(СГИ!$Q$3:$AJ$22,VLOOKUP($N11,СГИ!$O$3:$P$22,2),HLOOKUP(S$6,СГИ!$Q$1:$AJ$2,2)))=1,CONCATENATE("при измерении ",$N11," ",S$6," не допускается ! "),"")</f>
      </c>
      <c r="T11" s="219">
        <f>IF(IF(ISNA(INDEX(СГИ!$Q$3:$AJ$22,VLOOKUP($N11,СГИ!$O$3:$P$22,2),HLOOKUP(T$6,СГИ!$Q$1:$AJ$2,2))),"",INDEX(СГИ!$Q$3:$AJ$22,VLOOKUP($N11,СГИ!$O$3:$P$22,2),HLOOKUP(T$6,СГИ!$Q$1:$AJ$2,2)))=1,CONCATENATE("при измерении ",$N11," ",T$6," не допускается ! "),"")</f>
      </c>
      <c r="U11" s="219">
        <f>IF(IF(ISNA(INDEX(СГИ!$Q$3:$AJ$22,VLOOKUP($N11,СГИ!$O$3:$P$22,2),HLOOKUP(U$6,СГИ!$Q$1:$AJ$2,2))),"",INDEX(СГИ!$Q$3:$AJ$22,VLOOKUP($N11,СГИ!$O$3:$P$22,2),HLOOKUP(U$6,СГИ!$Q$1:$AJ$2,2)))=1,CONCATENATE("при измерении ",$N11," ",U$6," не допускается ! "),"")</f>
      </c>
      <c r="V11" s="219">
        <f>IF(IF(ISNA(INDEX(СГИ!$Q$3:$AJ$22,VLOOKUP($N11,СГИ!$O$3:$P$22,2),HLOOKUP(V$6,СГИ!$Q$1:$AJ$2,2))),"",INDEX(СГИ!$Q$3:$AJ$22,VLOOKUP($N11,СГИ!$O$3:$P$22,2),HLOOKUP(V$6,СГИ!$Q$1:$AJ$2,2)))=1,CONCATENATE("при измерении ",$N11," ",V$6," не допускается ! "),"")</f>
      </c>
      <c r="W11" s="219">
        <f>IF(IF(ISNA(INDEX(СГИ!$Q$3:$AJ$22,VLOOKUP($N11,СГИ!$O$3:$P$22,2),HLOOKUP(W$6,СГИ!$Q$1:$AJ$2,2))),"",INDEX(СГИ!$Q$3:$AJ$22,VLOOKUP($N11,СГИ!$O$3:$P$22,2),HLOOKUP(W$6,СГИ!$Q$1:$AJ$2,2)))=1,CONCATENATE("при измерении ",$N11," ",W$6," не допускается ! "),"")</f>
      </c>
      <c r="X11" s="219">
        <f>IF(IF(ISNA(INDEX(СГИ!$Q$3:$AJ$22,VLOOKUP($N11,СГИ!$O$3:$P$22,2),HLOOKUP(X$6,СГИ!$Q$1:$AJ$2,2))),"",INDEX(СГИ!$Q$3:$AJ$22,VLOOKUP($N11,СГИ!$O$3:$P$22,2),HLOOKUP(X$6,СГИ!$Q$1:$AJ$2,2)))=1,CONCATENATE("при измерении ",$N11," ",X$6," не допускается ! "),"")</f>
      </c>
      <c r="Y11" s="219">
        <f>IF(IF(ISNA(INDEX(СГИ!$Q$3:$AJ$22,VLOOKUP($N11,СГИ!$O$3:$P$22,2),HLOOKUP(Y$6,СГИ!$Q$1:$AJ$2,2))),"",INDEX(СГИ!$Q$3:$AJ$22,VLOOKUP($N11,СГИ!$O$3:$P$22,2),HLOOKUP(Y$6,СГИ!$Q$1:$AJ$2,2)))=1,CONCATENATE("при измерении ",$N11," ",Y$6," не допускается ! "),"")</f>
      </c>
      <c r="Z11" s="219">
        <f>IF(IF(ISNA(INDEX(СГИ!$Q$3:$AJ$22,VLOOKUP($N11,СГИ!$O$3:$P$22,2),HLOOKUP(Z$6,СГИ!$Q$1:$AJ$2,2))),"",INDEX(СГИ!$Q$3:$AJ$22,VLOOKUP($N11,СГИ!$O$3:$P$22,2),HLOOKUP(Z$6,СГИ!$Q$1:$AJ$2,2)))=1,CONCATENATE("при измерении ",$N11," ",Z$6," не допускается ! "),"")</f>
      </c>
      <c r="AA11" s="219">
        <f>IF(IF(ISNA(INDEX(СГИ!$Q$3:$AJ$22,VLOOKUP($N11,СГИ!$O$3:$P$22,2),HLOOKUP(AA$6,СГИ!$Q$1:$AJ$2,2))),"",INDEX(СГИ!$Q$3:$AJ$22,VLOOKUP($N11,СГИ!$O$3:$P$22,2),HLOOKUP(AA$6,СГИ!$Q$1:$AJ$2,2)))=1,CONCATENATE("при измерении ",$N11," ",AA$6," не допускается ! "),"")</f>
      </c>
      <c r="AB11" s="219">
        <f>IF(IF(ISNA(INDEX(СГИ!$Q$3:$AJ$22,VLOOKUP($N11,СГИ!$O$3:$P$22,2),HLOOKUP(AB$6,СГИ!$Q$1:$AJ$2,2))),"",INDEX(СГИ!$Q$3:$AJ$22,VLOOKUP($N11,СГИ!$O$3:$P$22,2),HLOOKUP(AB$6,СГИ!$Q$1:$AJ$2,2)))=1,CONCATENATE("при измерении ",$N11," ",AB$6," не допускается ! "),"")</f>
      </c>
      <c r="AC11" s="219">
        <f>IF(IF(ISNA(INDEX(СГИ!$Q$3:$AJ$22,VLOOKUP($N11,СГИ!$O$3:$P$22,2),HLOOKUP(AC$6,СГИ!$Q$1:$AJ$2,2))),"",INDEX(СГИ!$Q$3:$AJ$22,VLOOKUP($N11,СГИ!$O$3:$P$22,2),HLOOKUP(AC$6,СГИ!$Q$1:$AJ$2,2)))=1,CONCATENATE("при измерении ",$N11," ",AC$6," не допускается ! "),"")</f>
      </c>
      <c r="AD11" s="219">
        <f>IF(IF(ISNA(INDEX(СГИ!$Q$3:$AJ$22,VLOOKUP($N11,СГИ!$O$3:$P$22,2),HLOOKUP(AD$6,СГИ!$Q$1:$AJ$2,2))),"",INDEX(СГИ!$Q$3:$AJ$22,VLOOKUP($N11,СГИ!$O$3:$P$22,2),HLOOKUP(AD$6,СГИ!$Q$1:$AJ$2,2)))=1,CONCATENATE("при измерении ",$N11," ",AD$6," не допускается ! "),"")</f>
      </c>
      <c r="AE11" s="219">
        <f>IF(IF(ISNA(INDEX(СГИ!$Q$3:$AJ$22,VLOOKUP($N11,СГИ!$O$3:$P$22,2),HLOOKUP(AE$6,СГИ!$Q$1:$AJ$2,2))),"",INDEX(СГИ!$Q$3:$AJ$22,VLOOKUP($N11,СГИ!$O$3:$P$22,2),HLOOKUP(AE$6,СГИ!$Q$1:$AJ$2,2)))=1,CONCATENATE("при измерении ",$N11," ",AE$6," не допускается ! "),"")</f>
      </c>
      <c r="AF11" s="254">
        <f>IF(IF(ISNA(INDEX(СГИ!$Q$3:$AJ$22,VLOOKUP($N11,СГИ!$O$3:$P$22,2),HLOOKUP(AF$6,СГИ!$Q$1:$AJ$2,2))),"",INDEX(СГИ!$Q$3:$AJ$22,VLOOKUP($N11,СГИ!$O$3:$P$22,2),HLOOKUP(AF$6,СГИ!$Q$1:$AJ$2,2)))=1,CONCATENATE("при измерении ",$N11," ",AF$6," не допускается ! "),"")</f>
      </c>
      <c r="AG11">
        <f t="shared" si="2"/>
      </c>
    </row>
    <row r="12" spans="1:33" ht="15" customHeight="1" thickBot="1">
      <c r="A12" s="1020"/>
      <c r="B12" s="222" t="s">
        <v>328</v>
      </c>
      <c r="C12" s="501"/>
      <c r="D12" s="1017" t="str">
        <f aca="true" t="shared" si="3" ref="D12:D21">IF(SUM(C$7:C$21)&gt;4,"&lt;- сумма не должна быть более 4",IF(OR(C12=2,C12=3,C12=4,AND(C$11&gt;0,C12&gt;0)),"&lt;- уменьшите количество каналов",IF(OR(SUM(C$7:C$21)=4,AND(C$11=1,I$31=1)),"&lt;- дальнейший ввод невозможен",IF(C12=1,"","&lt;- введите данные, если необходимо"))))</f>
        <v>&lt;- введите данные, если необходимо</v>
      </c>
      <c r="E12" s="545"/>
      <c r="F12" s="526"/>
      <c r="G12" s="1045" t="str">
        <f>IF(AND(NOT(G13="проверьте ввод данных")),"ЦЕНЫ без взрывозащиты, руб.:",IF(G13="проверьте ввод данных","ЦЕНЫ","ЦЕНЫ с взрывозащитой, руб.:"))</f>
        <v>ЦЕНЫ</v>
      </c>
      <c r="H12" s="524">
        <f t="shared" si="0"/>
      </c>
      <c r="I12" s="484">
        <f t="shared" si="1"/>
        <v>0</v>
      </c>
      <c r="J12" s="247"/>
      <c r="L12" s="493">
        <f>IF(C12&gt;0,ПГ!S12,"")</f>
      </c>
      <c r="N12" s="218">
        <f aca="true" t="shared" si="4" ref="N12:N25">MID(H12,2,9)</f>
      </c>
      <c r="O12" s="219">
        <f>IF(IF(ISNA(INDEX(СГИ!$Q$3:$AJ$22,VLOOKUP($N12,СГИ!$O$3:$P$22,2),HLOOKUP(O$6,СГИ!$Q$1:$AJ$2,2))),"",INDEX(СГИ!$Q$3:$AJ$22,VLOOKUP($N12,СГИ!$O$3:$P$22,2),HLOOKUP(O$6,СГИ!$Q$1:$AJ$2,2)))=1,CONCATENATE("при измерении ",$N12," ",O$6," не допускается ! "),"")</f>
      </c>
      <c r="P12" s="219">
        <f>IF(IF(ISNA(INDEX(СГИ!$Q$3:$AJ$22,VLOOKUP($N12,СГИ!$O$3:$P$22,2),HLOOKUP(P$6,СГИ!$Q$1:$AJ$2,2))),"",INDEX(СГИ!$Q$3:$AJ$22,VLOOKUP($N12,СГИ!$O$3:$P$22,2),HLOOKUP(P$6,СГИ!$Q$1:$AJ$2,2)))=1,CONCATENATE("при измерении ",$N12," ",P$6," не допускается ! "),"")</f>
      </c>
      <c r="Q12" s="219">
        <f>IF(IF(ISNA(INDEX(СГИ!$Q$3:$AJ$22,VLOOKUP($N12,СГИ!$O$3:$P$22,2),HLOOKUP(Q$6,СГИ!$Q$1:$AJ$2,2))),"",INDEX(СГИ!$Q$3:$AJ$22,VLOOKUP($N12,СГИ!$O$3:$P$22,2),HLOOKUP(Q$6,СГИ!$Q$1:$AJ$2,2)))=1,CONCATENATE("при измерении ",$N12," ",Q$6," не допускается ! "),"")</f>
      </c>
      <c r="R12" s="219">
        <f>IF(IF(ISNA(INDEX(СГИ!$Q$3:$AJ$22,VLOOKUP($N12,СГИ!$O$3:$P$22,2),HLOOKUP(R$6,СГИ!$Q$1:$AJ$2,2))),"",INDEX(СГИ!$Q$3:$AJ$22,VLOOKUP($N12,СГИ!$O$3:$P$22,2),HLOOKUP(R$6,СГИ!$Q$1:$AJ$2,2)))=1,CONCATENATE("при измерении ",$N12," ",R$6," не допускается ! "),"")</f>
      </c>
      <c r="S12" s="219">
        <f>IF(IF(ISNA(INDEX(СГИ!$Q$3:$AJ$22,VLOOKUP($N12,СГИ!$O$3:$P$22,2),HLOOKUP(S$6,СГИ!$Q$1:$AJ$2,2))),"",INDEX(СГИ!$Q$3:$AJ$22,VLOOKUP($N12,СГИ!$O$3:$P$22,2),HLOOKUP(S$6,СГИ!$Q$1:$AJ$2,2)))=1,CONCATENATE("при измерении ",$N12," ",S$6," не допускается ! "),"")</f>
      </c>
      <c r="T12" s="219">
        <f>IF(IF(ISNA(INDEX(СГИ!$Q$3:$AJ$22,VLOOKUP($N12,СГИ!$O$3:$P$22,2),HLOOKUP(T$6,СГИ!$Q$1:$AJ$2,2))),"",INDEX(СГИ!$Q$3:$AJ$22,VLOOKUP($N12,СГИ!$O$3:$P$22,2),HLOOKUP(T$6,СГИ!$Q$1:$AJ$2,2)))=1,CONCATENATE("при измерении ",$N12," ",T$6," не допускается ! "),"")</f>
      </c>
      <c r="U12" s="219">
        <f>IF(IF(ISNA(INDEX(СГИ!$Q$3:$AJ$22,VLOOKUP($N12,СГИ!$O$3:$P$22,2),HLOOKUP(U$6,СГИ!$Q$1:$AJ$2,2))),"",INDEX(СГИ!$Q$3:$AJ$22,VLOOKUP($N12,СГИ!$O$3:$P$22,2),HLOOKUP(U$6,СГИ!$Q$1:$AJ$2,2)))=1,CONCATENATE("при измерении ",$N12," ",U$6," не допускается ! "),"")</f>
      </c>
      <c r="V12" s="219">
        <f>IF(IF(ISNA(INDEX(СГИ!$Q$3:$AJ$22,VLOOKUP($N12,СГИ!$O$3:$P$22,2),HLOOKUP(V$6,СГИ!$Q$1:$AJ$2,2))),"",INDEX(СГИ!$Q$3:$AJ$22,VLOOKUP($N12,СГИ!$O$3:$P$22,2),HLOOKUP(V$6,СГИ!$Q$1:$AJ$2,2)))=1,CONCATENATE("при измерении ",$N12," ",V$6," не допускается ! "),"")</f>
      </c>
      <c r="W12" s="219">
        <f>IF(IF(ISNA(INDEX(СГИ!$Q$3:$AJ$22,VLOOKUP($N12,СГИ!$O$3:$P$22,2),HLOOKUP(W$6,СГИ!$Q$1:$AJ$2,2))),"",INDEX(СГИ!$Q$3:$AJ$22,VLOOKUP($N12,СГИ!$O$3:$P$22,2),HLOOKUP(W$6,СГИ!$Q$1:$AJ$2,2)))=1,CONCATENATE("при измерении ",$N12," ",W$6," не допускается ! "),"")</f>
      </c>
      <c r="X12" s="219">
        <f>IF(IF(ISNA(INDEX(СГИ!$Q$3:$AJ$22,VLOOKUP($N12,СГИ!$O$3:$P$22,2),HLOOKUP(X$6,СГИ!$Q$1:$AJ$2,2))),"",INDEX(СГИ!$Q$3:$AJ$22,VLOOKUP($N12,СГИ!$O$3:$P$22,2),HLOOKUP(X$6,СГИ!$Q$1:$AJ$2,2)))=1,CONCATENATE("при измерении ",$N12," ",X$6," не допускается ! "),"")</f>
      </c>
      <c r="Y12" s="219">
        <f>IF(IF(ISNA(INDEX(СГИ!$Q$3:$AJ$22,VLOOKUP($N12,СГИ!$O$3:$P$22,2),HLOOKUP(Y$6,СГИ!$Q$1:$AJ$2,2))),"",INDEX(СГИ!$Q$3:$AJ$22,VLOOKUP($N12,СГИ!$O$3:$P$22,2),HLOOKUP(Y$6,СГИ!$Q$1:$AJ$2,2)))=1,CONCATENATE("при измерении ",$N12," ",Y$6," не допускается ! "),"")</f>
      </c>
      <c r="Z12" s="219">
        <f>IF(IF(ISNA(INDEX(СГИ!$Q$3:$AJ$22,VLOOKUP($N12,СГИ!$O$3:$P$22,2),HLOOKUP(Z$6,СГИ!$Q$1:$AJ$2,2))),"",INDEX(СГИ!$Q$3:$AJ$22,VLOOKUP($N12,СГИ!$O$3:$P$22,2),HLOOKUP(Z$6,СГИ!$Q$1:$AJ$2,2)))=1,CONCATENATE("при измерении ",$N12," ",Z$6," не допускается ! "),"")</f>
      </c>
      <c r="AA12" s="219">
        <f>IF(IF(ISNA(INDEX(СГИ!$Q$3:$AJ$22,VLOOKUP($N12,СГИ!$O$3:$P$22,2),HLOOKUP(AA$6,СГИ!$Q$1:$AJ$2,2))),"",INDEX(СГИ!$Q$3:$AJ$22,VLOOKUP($N12,СГИ!$O$3:$P$22,2),HLOOKUP(AA$6,СГИ!$Q$1:$AJ$2,2)))=1,CONCATENATE("при измерении ",$N12," ",AA$6," не допускается ! "),"")</f>
      </c>
      <c r="AB12" s="219">
        <f>IF(IF(ISNA(INDEX(СГИ!$Q$3:$AJ$22,VLOOKUP($N12,СГИ!$O$3:$P$22,2),HLOOKUP(AB$6,СГИ!$Q$1:$AJ$2,2))),"",INDEX(СГИ!$Q$3:$AJ$22,VLOOKUP($N12,СГИ!$O$3:$P$22,2),HLOOKUP(AB$6,СГИ!$Q$1:$AJ$2,2)))=1,CONCATENATE("при измерении ",$N12," ",AB$6," не допускается ! "),"")</f>
      </c>
      <c r="AC12" s="219">
        <f>IF(IF(ISNA(INDEX(СГИ!$Q$3:$AJ$22,VLOOKUP($N12,СГИ!$O$3:$P$22,2),HLOOKUP(AC$6,СГИ!$Q$1:$AJ$2,2))),"",INDEX(СГИ!$Q$3:$AJ$22,VLOOKUP($N12,СГИ!$O$3:$P$22,2),HLOOKUP(AC$6,СГИ!$Q$1:$AJ$2,2)))=1,CONCATENATE("при измерении ",$N12," ",AC$6," не допускается ! "),"")</f>
      </c>
      <c r="AD12" s="219">
        <f>IF(IF(ISNA(INDEX(СГИ!$Q$3:$AJ$22,VLOOKUP($N12,СГИ!$O$3:$P$22,2),HLOOKUP(AD$6,СГИ!$Q$1:$AJ$2,2))),"",INDEX(СГИ!$Q$3:$AJ$22,VLOOKUP($N12,СГИ!$O$3:$P$22,2),HLOOKUP(AD$6,СГИ!$Q$1:$AJ$2,2)))=1,CONCATENATE("при измерении ",$N12," ",AD$6," не допускается ! "),"")</f>
      </c>
      <c r="AE12" s="219">
        <f>IF(IF(ISNA(INDEX(СГИ!$Q$3:$AJ$22,VLOOKUP($N12,СГИ!$O$3:$P$22,2),HLOOKUP(AE$6,СГИ!$Q$1:$AJ$2,2))),"",INDEX(СГИ!$Q$3:$AJ$22,VLOOKUP($N12,СГИ!$O$3:$P$22,2),HLOOKUP(AE$6,СГИ!$Q$1:$AJ$2,2)))=1,CONCATENATE("при измерении ",$N12," ",AE$6," не допускается ! "),"")</f>
      </c>
      <c r="AF12" s="254">
        <f>IF(IF(ISNA(INDEX(СГИ!$Q$3:$AJ$22,VLOOKUP($N12,СГИ!$O$3:$P$22,2),HLOOKUP(AF$6,СГИ!$Q$1:$AJ$2,2))),"",INDEX(СГИ!$Q$3:$AJ$22,VLOOKUP($N12,СГИ!$O$3:$P$22,2),HLOOKUP(AF$6,СГИ!$Q$1:$AJ$2,2)))=1,CONCATENATE("при измерении ",$N12," ",AF$6," не допускается ! "),"")</f>
      </c>
      <c r="AG12">
        <f t="shared" si="2"/>
      </c>
    </row>
    <row r="13" spans="1:33" ht="15" customHeight="1" thickBot="1">
      <c r="A13" s="1026"/>
      <c r="B13" s="938" t="s">
        <v>36</v>
      </c>
      <c r="C13" s="939"/>
      <c r="D13" s="1027" t="str">
        <f t="shared" si="3"/>
        <v>&lt;- введите данные, если необходимо</v>
      </c>
      <c r="E13" s="545"/>
      <c r="F13" s="516" t="s">
        <v>353</v>
      </c>
      <c r="G13" s="926" t="str">
        <f>IF(G8="",N5,"проверьте ввод данных")</f>
        <v>проверьте ввод данных</v>
      </c>
      <c r="H13" s="524">
        <f t="shared" si="0"/>
      </c>
      <c r="I13" s="484">
        <f t="shared" si="1"/>
        <v>0</v>
      </c>
      <c r="J13" s="247"/>
      <c r="L13" s="493">
        <f>IF(C13&gt;0,ПГ!S13,"")</f>
      </c>
      <c r="N13" s="218">
        <f t="shared" si="4"/>
      </c>
      <c r="O13" s="219">
        <f>IF(IF(ISNA(INDEX(СГИ!$Q$3:$AJ$22,VLOOKUP($N13,СГИ!$O$3:$P$22,2),HLOOKUP(O$6,СГИ!$Q$1:$AJ$2,2))),"",INDEX(СГИ!$Q$3:$AJ$22,VLOOKUP($N13,СГИ!$O$3:$P$22,2),HLOOKUP(O$6,СГИ!$Q$1:$AJ$2,2)))=1,CONCATENATE("при измерении ",$N13," ",O$6," не допускается ! "),"")</f>
      </c>
      <c r="P13" s="219">
        <f>IF(IF(ISNA(INDEX(СГИ!$Q$3:$AJ$22,VLOOKUP($N13,СГИ!$O$3:$P$22,2),HLOOKUP(P$6,СГИ!$Q$1:$AJ$2,2))),"",INDEX(СГИ!$Q$3:$AJ$22,VLOOKUP($N13,СГИ!$O$3:$P$22,2),HLOOKUP(P$6,СГИ!$Q$1:$AJ$2,2)))=1,CONCATENATE("при измерении ",$N13," ",P$6," не допускается ! "),"")</f>
      </c>
      <c r="Q13" s="219">
        <f>IF(IF(ISNA(INDEX(СГИ!$Q$3:$AJ$22,VLOOKUP($N13,СГИ!$O$3:$P$22,2),HLOOKUP(Q$6,СГИ!$Q$1:$AJ$2,2))),"",INDEX(СГИ!$Q$3:$AJ$22,VLOOKUP($N13,СГИ!$O$3:$P$22,2),HLOOKUP(Q$6,СГИ!$Q$1:$AJ$2,2)))=1,CONCATENATE("при измерении ",$N13," ",Q$6," не допускается ! "),"")</f>
      </c>
      <c r="R13" s="219">
        <f>IF(IF(ISNA(INDEX(СГИ!$Q$3:$AJ$22,VLOOKUP($N13,СГИ!$O$3:$P$22,2),HLOOKUP(R$6,СГИ!$Q$1:$AJ$2,2))),"",INDEX(СГИ!$Q$3:$AJ$22,VLOOKUP($N13,СГИ!$O$3:$P$22,2),HLOOKUP(R$6,СГИ!$Q$1:$AJ$2,2)))=1,CONCATENATE("при измерении ",$N13," ",R$6," не допускается ! "),"")</f>
      </c>
      <c r="S13" s="219">
        <f>IF(IF(ISNA(INDEX(СГИ!$Q$3:$AJ$22,VLOOKUP($N13,СГИ!$O$3:$P$22,2),HLOOKUP(S$6,СГИ!$Q$1:$AJ$2,2))),"",INDEX(СГИ!$Q$3:$AJ$22,VLOOKUP($N13,СГИ!$O$3:$P$22,2),HLOOKUP(S$6,СГИ!$Q$1:$AJ$2,2)))=1,CONCATENATE("при измерении ",$N13," ",S$6," не допускается ! "),"")</f>
      </c>
      <c r="T13" s="219">
        <f>IF(IF(ISNA(INDEX(СГИ!$Q$3:$AJ$22,VLOOKUP($N13,СГИ!$O$3:$P$22,2),HLOOKUP(T$6,СГИ!$Q$1:$AJ$2,2))),"",INDEX(СГИ!$Q$3:$AJ$22,VLOOKUP($N13,СГИ!$O$3:$P$22,2),HLOOKUP(T$6,СГИ!$Q$1:$AJ$2,2)))=1,CONCATENATE("при измерении ",$N13," ",T$6," не допускается ! "),"")</f>
      </c>
      <c r="U13" s="219">
        <f>IF(IF(ISNA(INDEX(СГИ!$Q$3:$AJ$22,VLOOKUP($N13,СГИ!$O$3:$P$22,2),HLOOKUP(U$6,СГИ!$Q$1:$AJ$2,2))),"",INDEX(СГИ!$Q$3:$AJ$22,VLOOKUP($N13,СГИ!$O$3:$P$22,2),HLOOKUP(U$6,СГИ!$Q$1:$AJ$2,2)))=1,CONCATENATE("при измерении ",$N13," ",U$6," не допускается ! "),"")</f>
      </c>
      <c r="V13" s="219">
        <f>IF(IF(ISNA(INDEX(СГИ!$Q$3:$AJ$22,VLOOKUP($N13,СГИ!$O$3:$P$22,2),HLOOKUP(V$6,СГИ!$Q$1:$AJ$2,2))),"",INDEX(СГИ!$Q$3:$AJ$22,VLOOKUP($N13,СГИ!$O$3:$P$22,2),HLOOKUP(V$6,СГИ!$Q$1:$AJ$2,2)))=1,CONCATENATE("при измерении ",$N13," ",V$6," не допускается ! "),"")</f>
      </c>
      <c r="W13" s="219">
        <f>IF(IF(ISNA(INDEX(СГИ!$Q$3:$AJ$22,VLOOKUP($N13,СГИ!$O$3:$P$22,2),HLOOKUP(W$6,СГИ!$Q$1:$AJ$2,2))),"",INDEX(СГИ!$Q$3:$AJ$22,VLOOKUP($N13,СГИ!$O$3:$P$22,2),HLOOKUP(W$6,СГИ!$Q$1:$AJ$2,2)))=1,CONCATENATE("при измерении ",$N13," ",W$6," не допускается ! "),"")</f>
      </c>
      <c r="X13" s="219">
        <f>IF(IF(ISNA(INDEX(СГИ!$Q$3:$AJ$22,VLOOKUP($N13,СГИ!$O$3:$P$22,2),HLOOKUP(X$6,СГИ!$Q$1:$AJ$2,2))),"",INDEX(СГИ!$Q$3:$AJ$22,VLOOKUP($N13,СГИ!$O$3:$P$22,2),HLOOKUP(X$6,СГИ!$Q$1:$AJ$2,2)))=1,CONCATENATE("при измерении ",$N13," ",X$6," не допускается ! "),"")</f>
      </c>
      <c r="Y13" s="219">
        <f>IF(IF(ISNA(INDEX(СГИ!$Q$3:$AJ$22,VLOOKUP($N13,СГИ!$O$3:$P$22,2),HLOOKUP(Y$6,СГИ!$Q$1:$AJ$2,2))),"",INDEX(СГИ!$Q$3:$AJ$22,VLOOKUP($N13,СГИ!$O$3:$P$22,2),HLOOKUP(Y$6,СГИ!$Q$1:$AJ$2,2)))=1,CONCATENATE("при измерении ",$N13," ",Y$6," не допускается ! "),"")</f>
      </c>
      <c r="Z13" s="219">
        <f>IF(IF(ISNA(INDEX(СГИ!$Q$3:$AJ$22,VLOOKUP($N13,СГИ!$O$3:$P$22,2),HLOOKUP(Z$6,СГИ!$Q$1:$AJ$2,2))),"",INDEX(СГИ!$Q$3:$AJ$22,VLOOKUP($N13,СГИ!$O$3:$P$22,2),HLOOKUP(Z$6,СГИ!$Q$1:$AJ$2,2)))=1,CONCATENATE("при измерении ",$N13," ",Z$6," не допускается ! "),"")</f>
      </c>
      <c r="AA13" s="219">
        <f>IF(IF(ISNA(INDEX(СГИ!$Q$3:$AJ$22,VLOOKUP($N13,СГИ!$O$3:$P$22,2),HLOOKUP(AA$6,СГИ!$Q$1:$AJ$2,2))),"",INDEX(СГИ!$Q$3:$AJ$22,VLOOKUP($N13,СГИ!$O$3:$P$22,2),HLOOKUP(AA$6,СГИ!$Q$1:$AJ$2,2)))=1,CONCATENATE("при измерении ",$N13," ",AA$6," не допускается ! "),"")</f>
      </c>
      <c r="AB13" s="219">
        <f>IF(IF(ISNA(INDEX(СГИ!$Q$3:$AJ$22,VLOOKUP($N13,СГИ!$O$3:$P$22,2),HLOOKUP(AB$6,СГИ!$Q$1:$AJ$2,2))),"",INDEX(СГИ!$Q$3:$AJ$22,VLOOKUP($N13,СГИ!$O$3:$P$22,2),HLOOKUP(AB$6,СГИ!$Q$1:$AJ$2,2)))=1,CONCATENATE("при измерении ",$N13," ",AB$6," не допускается ! "),"")</f>
      </c>
      <c r="AC13" s="219">
        <f>IF(IF(ISNA(INDEX(СГИ!$Q$3:$AJ$22,VLOOKUP($N13,СГИ!$O$3:$P$22,2),HLOOKUP(AC$6,СГИ!$Q$1:$AJ$2,2))),"",INDEX(СГИ!$Q$3:$AJ$22,VLOOKUP($N13,СГИ!$O$3:$P$22,2),HLOOKUP(AC$6,СГИ!$Q$1:$AJ$2,2)))=1,CONCATENATE("при измерении ",$N13," ",AC$6," не допускается ! "),"")</f>
      </c>
      <c r="AD13" s="219">
        <f>IF(IF(ISNA(INDEX(СГИ!$Q$3:$AJ$22,VLOOKUP($N13,СГИ!$O$3:$P$22,2),HLOOKUP(AD$6,СГИ!$Q$1:$AJ$2,2))),"",INDEX(СГИ!$Q$3:$AJ$22,VLOOKUP($N13,СГИ!$O$3:$P$22,2),HLOOKUP(AD$6,СГИ!$Q$1:$AJ$2,2)))=1,CONCATENATE("при измерении ",$N13," ",AD$6," не допускается ! "),"")</f>
      </c>
      <c r="AE13" s="219">
        <f>IF(IF(ISNA(INDEX(СГИ!$Q$3:$AJ$22,VLOOKUP($N13,СГИ!$O$3:$P$22,2),HLOOKUP(AE$6,СГИ!$Q$1:$AJ$2,2))),"",INDEX(СГИ!$Q$3:$AJ$22,VLOOKUP($N13,СГИ!$O$3:$P$22,2),HLOOKUP(AE$6,СГИ!$Q$1:$AJ$2,2)))=1,CONCATENATE("при измерении ",$N13," ",AE$6," не допускается ! "),"")</f>
      </c>
      <c r="AF13" s="254">
        <f>IF(IF(ISNA(INDEX(СГИ!$Q$3:$AJ$22,VLOOKUP($N13,СГИ!$O$3:$P$22,2),HLOOKUP(AF$6,СГИ!$Q$1:$AJ$2,2))),"",INDEX(СГИ!$Q$3:$AJ$22,VLOOKUP($N13,СГИ!$O$3:$P$22,2),HLOOKUP(AF$6,СГИ!$Q$1:$AJ$2,2)))=1,CONCATENATE("при измерении ",$N13," ",AF$6," не допускается ! "),"")</f>
      </c>
      <c r="AG13">
        <f t="shared" si="2"/>
      </c>
    </row>
    <row r="14" spans="1:33" ht="15" customHeight="1" thickBot="1">
      <c r="A14" s="1020"/>
      <c r="B14" s="222" t="s">
        <v>136</v>
      </c>
      <c r="C14" s="503"/>
      <c r="D14" s="1017" t="str">
        <f t="shared" si="3"/>
        <v>&lt;- введите данные, если необходимо</v>
      </c>
      <c r="E14" s="545"/>
      <c r="F14" s="517" t="str">
        <f>CONCATENATE("НДС ",100*СГИ!$B$1,"%")</f>
        <v>НДС 20%</v>
      </c>
      <c r="G14" s="927" t="str">
        <f>IF(G8="",(IF(G13="проверьте ввод данных","--",SUM(G13:G13)*ПГ!B2)),"проверьте ввод данных")</f>
        <v>--</v>
      </c>
      <c r="H14" s="524">
        <f t="shared" si="0"/>
      </c>
      <c r="I14" s="484">
        <f t="shared" si="1"/>
        <v>0</v>
      </c>
      <c r="J14" s="247"/>
      <c r="L14" s="493">
        <f>IF(C14&gt;0,ПГ!S14,"")</f>
      </c>
      <c r="N14" s="218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54"/>
      <c r="AG14"/>
    </row>
    <row r="15" spans="1:33" ht="15" customHeight="1" thickBot="1">
      <c r="A15" s="1020"/>
      <c r="B15" s="222" t="s">
        <v>330</v>
      </c>
      <c r="C15" s="280"/>
      <c r="D15" s="1017" t="str">
        <f t="shared" si="3"/>
        <v>&lt;- введите данные, если необходимо</v>
      </c>
      <c r="E15" s="545"/>
      <c r="F15" s="518" t="s">
        <v>332</v>
      </c>
      <c r="G15" s="928" t="str">
        <f>IF(G13="проверьте ввод данных","--",SUM(G13:G14))</f>
        <v>--</v>
      </c>
      <c r="H15" s="524">
        <f t="shared" si="0"/>
      </c>
      <c r="I15" s="484">
        <f t="shared" si="1"/>
        <v>0</v>
      </c>
      <c r="J15" s="247"/>
      <c r="L15" s="493">
        <f>IF(C15&gt;0,ПГ!S15,"")</f>
      </c>
      <c r="N15" s="218">
        <f t="shared" si="4"/>
      </c>
      <c r="O15" s="219">
        <f>IF(IF(ISNA(INDEX(СГИ!$Q$3:$AJ$22,VLOOKUP($N15,СГИ!$O$3:$P$22,2),HLOOKUP(O$6,СГИ!$Q$1:$AJ$2,2))),"",INDEX(СГИ!$Q$3:$AJ$22,VLOOKUP($N15,СГИ!$O$3:$P$22,2),HLOOKUP(O$6,СГИ!$Q$1:$AJ$2,2)))=1,CONCATENATE("при измерении ",$N15," ",O$6," не допускается ! "),"")</f>
      </c>
      <c r="P15" s="219">
        <f>IF(IF(ISNA(INDEX(СГИ!$Q$3:$AJ$22,VLOOKUP($N15,СГИ!$O$3:$P$22,2),HLOOKUP(P$6,СГИ!$Q$1:$AJ$2,2))),"",INDEX(СГИ!$Q$3:$AJ$22,VLOOKUP($N15,СГИ!$O$3:$P$22,2),HLOOKUP(P$6,СГИ!$Q$1:$AJ$2,2)))=1,CONCATENATE("при измерении ",$N15," ",P$6," не допускается ! "),"")</f>
      </c>
      <c r="Q15" s="219">
        <f>IF(IF(ISNA(INDEX(СГИ!$Q$3:$AJ$22,VLOOKUP($N15,СГИ!$O$3:$P$22,2),HLOOKUP(Q$6,СГИ!$Q$1:$AJ$2,2))),"",INDEX(СГИ!$Q$3:$AJ$22,VLOOKUP($N15,СГИ!$O$3:$P$22,2),HLOOKUP(Q$6,СГИ!$Q$1:$AJ$2,2)))=1,CONCATENATE("при измерении ",$N15," ",Q$6," не допускается ! "),"")</f>
      </c>
      <c r="R15" s="219">
        <f>IF(IF(ISNA(INDEX(СГИ!$Q$3:$AJ$22,VLOOKUP($N15,СГИ!$O$3:$P$22,2),HLOOKUP(R$6,СГИ!$Q$1:$AJ$2,2))),"",INDEX(СГИ!$Q$3:$AJ$22,VLOOKUP($N15,СГИ!$O$3:$P$22,2),HLOOKUP(R$6,СГИ!$Q$1:$AJ$2,2)))=1,CONCATENATE("при измерении ",$N15," ",R$6," не допускается ! "),"")</f>
      </c>
      <c r="S15" s="219">
        <f>IF(IF(ISNA(INDEX(СГИ!$Q$3:$AJ$22,VLOOKUP($N15,СГИ!$O$3:$P$22,2),HLOOKUP(S$6,СГИ!$Q$1:$AJ$2,2))),"",INDEX(СГИ!$Q$3:$AJ$22,VLOOKUP($N15,СГИ!$O$3:$P$22,2),HLOOKUP(S$6,СГИ!$Q$1:$AJ$2,2)))=1,CONCATENATE("при измерении ",$N15," ",S$6," не допускается ! "),"")</f>
      </c>
      <c r="T15" s="219">
        <f>IF(IF(ISNA(INDEX(СГИ!$Q$3:$AJ$22,VLOOKUP($N15,СГИ!$O$3:$P$22,2),HLOOKUP(T$6,СГИ!$Q$1:$AJ$2,2))),"",INDEX(СГИ!$Q$3:$AJ$22,VLOOKUP($N15,СГИ!$O$3:$P$22,2),HLOOKUP(T$6,СГИ!$Q$1:$AJ$2,2)))=1,CONCATENATE("при измерении ",$N15," ",T$6," не допускается ! "),"")</f>
      </c>
      <c r="U15" s="219">
        <f>IF(IF(ISNA(INDEX(СГИ!$Q$3:$AJ$22,VLOOKUP($N15,СГИ!$O$3:$P$22,2),HLOOKUP(U$6,СГИ!$Q$1:$AJ$2,2))),"",INDEX(СГИ!$Q$3:$AJ$22,VLOOKUP($N15,СГИ!$O$3:$P$22,2),HLOOKUP(U$6,СГИ!$Q$1:$AJ$2,2)))=1,CONCATENATE("при измерении ",$N15," ",U$6," не допускается ! "),"")</f>
      </c>
      <c r="V15" s="219">
        <f>IF(IF(ISNA(INDEX(СГИ!$Q$3:$AJ$22,VLOOKUP($N15,СГИ!$O$3:$P$22,2),HLOOKUP(V$6,СГИ!$Q$1:$AJ$2,2))),"",INDEX(СГИ!$Q$3:$AJ$22,VLOOKUP($N15,СГИ!$O$3:$P$22,2),HLOOKUP(V$6,СГИ!$Q$1:$AJ$2,2)))=1,CONCATENATE("при измерении ",$N15," ",V$6," не допускается ! "),"")</f>
      </c>
      <c r="W15" s="219">
        <f>IF(IF(ISNA(INDEX(СГИ!$Q$3:$AJ$22,VLOOKUP($N15,СГИ!$O$3:$P$22,2),HLOOKUP(W$6,СГИ!$Q$1:$AJ$2,2))),"",INDEX(СГИ!$Q$3:$AJ$22,VLOOKUP($N15,СГИ!$O$3:$P$22,2),HLOOKUP(W$6,СГИ!$Q$1:$AJ$2,2)))=1,CONCATENATE("при измерении ",$N15," ",W$6," не допускается ! "),"")</f>
      </c>
      <c r="X15" s="219">
        <f>IF(IF(ISNA(INDEX(СГИ!$Q$3:$AJ$22,VLOOKUP($N15,СГИ!$O$3:$P$22,2),HLOOKUP(X$6,СГИ!$Q$1:$AJ$2,2))),"",INDEX(СГИ!$Q$3:$AJ$22,VLOOKUP($N15,СГИ!$O$3:$P$22,2),HLOOKUP(X$6,СГИ!$Q$1:$AJ$2,2)))=1,CONCATENATE("при измерении ",$N15," ",X$6," не допускается ! "),"")</f>
      </c>
      <c r="Y15" s="219">
        <f>IF(IF(ISNA(INDEX(СГИ!$Q$3:$AJ$22,VLOOKUP($N15,СГИ!$O$3:$P$22,2),HLOOKUP(Y$6,СГИ!$Q$1:$AJ$2,2))),"",INDEX(СГИ!$Q$3:$AJ$22,VLOOKUP($N15,СГИ!$O$3:$P$22,2),HLOOKUP(Y$6,СГИ!$Q$1:$AJ$2,2)))=1,CONCATENATE("при измерении ",$N15," ",Y$6," не допускается ! "),"")</f>
      </c>
      <c r="Z15" s="219">
        <f>IF(IF(ISNA(INDEX(СГИ!$Q$3:$AJ$22,VLOOKUP($N15,СГИ!$O$3:$P$22,2),HLOOKUP(Z$6,СГИ!$Q$1:$AJ$2,2))),"",INDEX(СГИ!$Q$3:$AJ$22,VLOOKUP($N15,СГИ!$O$3:$P$22,2),HLOOKUP(Z$6,СГИ!$Q$1:$AJ$2,2)))=1,CONCATENATE("при измерении ",$N15," ",Z$6," не допускается ! "),"")</f>
      </c>
      <c r="AA15" s="219">
        <f>IF(IF(ISNA(INDEX(СГИ!$Q$3:$AJ$22,VLOOKUP($N15,СГИ!$O$3:$P$22,2),HLOOKUP(AA$6,СГИ!$Q$1:$AJ$2,2))),"",INDEX(СГИ!$Q$3:$AJ$22,VLOOKUP($N15,СГИ!$O$3:$P$22,2),HLOOKUP(AA$6,СГИ!$Q$1:$AJ$2,2)))=1,CONCATENATE("при измерении ",$N15," ",AA$6," не допускается ! "),"")</f>
      </c>
      <c r="AB15" s="219">
        <f>IF(IF(ISNA(INDEX(СГИ!$Q$3:$AJ$22,VLOOKUP($N15,СГИ!$O$3:$P$22,2),HLOOKUP(AB$6,СГИ!$Q$1:$AJ$2,2))),"",INDEX(СГИ!$Q$3:$AJ$22,VLOOKUP($N15,СГИ!$O$3:$P$22,2),HLOOKUP(AB$6,СГИ!$Q$1:$AJ$2,2)))=1,CONCATENATE("при измерении ",$N15," ",AB$6," не допускается ! "),"")</f>
      </c>
      <c r="AC15" s="219">
        <f>IF(IF(ISNA(INDEX(СГИ!$Q$3:$AJ$22,VLOOKUP($N15,СГИ!$O$3:$P$22,2),HLOOKUP(AC$6,СГИ!$Q$1:$AJ$2,2))),"",INDEX(СГИ!$Q$3:$AJ$22,VLOOKUP($N15,СГИ!$O$3:$P$22,2),HLOOKUP(AC$6,СГИ!$Q$1:$AJ$2,2)))=1,CONCATENATE("при измерении ",$N15," ",AC$6," не допускается ! "),"")</f>
      </c>
      <c r="AD15" s="219">
        <f>IF(IF(ISNA(INDEX(СГИ!$Q$3:$AJ$22,VLOOKUP($N15,СГИ!$O$3:$P$22,2),HLOOKUP(AD$6,СГИ!$Q$1:$AJ$2,2))),"",INDEX(СГИ!$Q$3:$AJ$22,VLOOKUP($N15,СГИ!$O$3:$P$22,2),HLOOKUP(AD$6,СГИ!$Q$1:$AJ$2,2)))=1,CONCATENATE("при измерении ",$N15," ",AD$6," не допускается ! "),"")</f>
      </c>
      <c r="AE15" s="219">
        <f>IF(IF(ISNA(INDEX(СГИ!$Q$3:$AJ$22,VLOOKUP($N15,СГИ!$O$3:$P$22,2),HLOOKUP(AE$6,СГИ!$Q$1:$AJ$2,2))),"",INDEX(СГИ!$Q$3:$AJ$22,VLOOKUP($N15,СГИ!$O$3:$P$22,2),HLOOKUP(AE$6,СГИ!$Q$1:$AJ$2,2)))=1,CONCATENATE("при измерении ",$N15," ",AE$6," не допускается ! "),"")</f>
      </c>
      <c r="AF15" s="254">
        <f>IF(IF(ISNA(INDEX(СГИ!$Q$3:$AJ$22,VLOOKUP($N15,СГИ!$O$3:$P$22,2),HLOOKUP(AF$6,СГИ!$Q$1:$AJ$2,2))),"",INDEX(СГИ!$Q$3:$AJ$22,VLOOKUP($N15,СГИ!$O$3:$P$22,2),HLOOKUP(AF$6,СГИ!$Q$1:$AJ$2,2)))=1,CONCATENATE("при измерении ",$N15," ",AF$6," не допускается ! "),"")</f>
      </c>
      <c r="AG15">
        <f t="shared" si="2"/>
      </c>
    </row>
    <row r="16" spans="1:33" ht="15" customHeight="1" thickBot="1">
      <c r="A16" s="1020"/>
      <c r="B16" s="222" t="s">
        <v>331</v>
      </c>
      <c r="C16" s="280"/>
      <c r="D16" s="1017" t="str">
        <f t="shared" si="3"/>
        <v>&lt;- введите данные, если необходимо</v>
      </c>
      <c r="E16" s="545"/>
      <c r="F16" s="1118" t="s">
        <v>782</v>
      </c>
      <c r="G16" s="1119"/>
      <c r="H16" s="524">
        <f t="shared" si="0"/>
      </c>
      <c r="I16" s="484">
        <f t="shared" si="1"/>
        <v>0</v>
      </c>
      <c r="J16" s="247"/>
      <c r="L16" s="493">
        <f>IF(C16&gt;0,ПГ!S16,"")</f>
      </c>
      <c r="N16" s="218">
        <f t="shared" si="4"/>
      </c>
      <c r="O16" s="219">
        <f>IF(IF(ISNA(INDEX(СГИ!$Q$3:$AJ$22,VLOOKUP($N16,СГИ!$O$3:$P$22,2),HLOOKUP(O$6,СГИ!$Q$1:$AJ$2,2))),"",INDEX(СГИ!$Q$3:$AJ$22,VLOOKUP($N16,СГИ!$O$3:$P$22,2),HLOOKUP(O$6,СГИ!$Q$1:$AJ$2,2)))=1,CONCATENATE("при измерении ",$N16," ",O$6," не допускается ! "),"")</f>
      </c>
      <c r="P16" s="219">
        <f>IF(IF(ISNA(INDEX(СГИ!$Q$3:$AJ$22,VLOOKUP($N16,СГИ!$O$3:$P$22,2),HLOOKUP(P$6,СГИ!$Q$1:$AJ$2,2))),"",INDEX(СГИ!$Q$3:$AJ$22,VLOOKUP($N16,СГИ!$O$3:$P$22,2),HLOOKUP(P$6,СГИ!$Q$1:$AJ$2,2)))=1,CONCATENATE("при измерении ",$N16," ",P$6," не допускается ! "),"")</f>
      </c>
      <c r="Q16" s="219">
        <f>IF(IF(ISNA(INDEX(СГИ!$Q$3:$AJ$22,VLOOKUP($N16,СГИ!$O$3:$P$22,2),HLOOKUP(Q$6,СГИ!$Q$1:$AJ$2,2))),"",INDEX(СГИ!$Q$3:$AJ$22,VLOOKUP($N16,СГИ!$O$3:$P$22,2),HLOOKUP(Q$6,СГИ!$Q$1:$AJ$2,2)))=1,CONCATENATE("при измерении ",$N16," ",Q$6," не допускается ! "),"")</f>
      </c>
      <c r="R16" s="219">
        <f>IF(IF(ISNA(INDEX(СГИ!$Q$3:$AJ$22,VLOOKUP($N16,СГИ!$O$3:$P$22,2),HLOOKUP(R$6,СГИ!$Q$1:$AJ$2,2))),"",INDEX(СГИ!$Q$3:$AJ$22,VLOOKUP($N16,СГИ!$O$3:$P$22,2),HLOOKUP(R$6,СГИ!$Q$1:$AJ$2,2)))=1,CONCATENATE("при измерении ",$N16," ",R$6," не допускается ! "),"")</f>
      </c>
      <c r="S16" s="219">
        <f>IF(IF(ISNA(INDEX(СГИ!$Q$3:$AJ$22,VLOOKUP($N16,СГИ!$O$3:$P$22,2),HLOOKUP(S$6,СГИ!$Q$1:$AJ$2,2))),"",INDEX(СГИ!$Q$3:$AJ$22,VLOOKUP($N16,СГИ!$O$3:$P$22,2),HLOOKUP(S$6,СГИ!$Q$1:$AJ$2,2)))=1,CONCATENATE("при измерении ",$N16," ",S$6," не допускается ! "),"")</f>
      </c>
      <c r="T16" s="219">
        <f>IF(IF(ISNA(INDEX(СГИ!$Q$3:$AJ$22,VLOOKUP($N16,СГИ!$O$3:$P$22,2),HLOOKUP(T$6,СГИ!$Q$1:$AJ$2,2))),"",INDEX(СГИ!$Q$3:$AJ$22,VLOOKUP($N16,СГИ!$O$3:$P$22,2),HLOOKUP(T$6,СГИ!$Q$1:$AJ$2,2)))=1,CONCATENATE("при измерении ",$N16," ",T$6," не допускается ! "),"")</f>
      </c>
      <c r="U16" s="219">
        <f>IF(IF(ISNA(INDEX(СГИ!$Q$3:$AJ$22,VLOOKUP($N16,СГИ!$O$3:$P$22,2),HLOOKUP(U$6,СГИ!$Q$1:$AJ$2,2))),"",INDEX(СГИ!$Q$3:$AJ$22,VLOOKUP($N16,СГИ!$O$3:$P$22,2),HLOOKUP(U$6,СГИ!$Q$1:$AJ$2,2)))=1,CONCATENATE("при измерении ",$N16," ",U$6," не допускается ! "),"")</f>
      </c>
      <c r="V16" s="219">
        <f>IF(IF(ISNA(INDEX(СГИ!$Q$3:$AJ$22,VLOOKUP($N16,СГИ!$O$3:$P$22,2),HLOOKUP(V$6,СГИ!$Q$1:$AJ$2,2))),"",INDEX(СГИ!$Q$3:$AJ$22,VLOOKUP($N16,СГИ!$O$3:$P$22,2),HLOOKUP(V$6,СГИ!$Q$1:$AJ$2,2)))=1,CONCATENATE("при измерении ",$N16," ",V$6," не допускается ! "),"")</f>
      </c>
      <c r="W16" s="219">
        <f>IF(IF(ISNA(INDEX(СГИ!$Q$3:$AJ$22,VLOOKUP($N16,СГИ!$O$3:$P$22,2),HLOOKUP(W$6,СГИ!$Q$1:$AJ$2,2))),"",INDEX(СГИ!$Q$3:$AJ$22,VLOOKUP($N16,СГИ!$O$3:$P$22,2),HLOOKUP(W$6,СГИ!$Q$1:$AJ$2,2)))=1,CONCATENATE("при измерении ",$N16," ",W$6," не допускается ! "),"")</f>
      </c>
      <c r="X16" s="219">
        <f>IF(IF(ISNA(INDEX(СГИ!$Q$3:$AJ$22,VLOOKUP($N16,СГИ!$O$3:$P$22,2),HLOOKUP(X$6,СГИ!$Q$1:$AJ$2,2))),"",INDEX(СГИ!$Q$3:$AJ$22,VLOOKUP($N16,СГИ!$O$3:$P$22,2),HLOOKUP(X$6,СГИ!$Q$1:$AJ$2,2)))=1,CONCATENATE("при измерении ",$N16," ",X$6," не допускается ! "),"")</f>
      </c>
      <c r="Y16" s="219">
        <f>IF(IF(ISNA(INDEX(СГИ!$Q$3:$AJ$22,VLOOKUP($N16,СГИ!$O$3:$P$22,2),HLOOKUP(Y$6,СГИ!$Q$1:$AJ$2,2))),"",INDEX(СГИ!$Q$3:$AJ$22,VLOOKUP($N16,СГИ!$O$3:$P$22,2),HLOOKUP(Y$6,СГИ!$Q$1:$AJ$2,2)))=1,CONCATENATE("при измерении ",$N16," ",Y$6," не допускается ! "),"")</f>
      </c>
      <c r="Z16" s="219">
        <f>IF(IF(ISNA(INDEX(СГИ!$Q$3:$AJ$22,VLOOKUP($N16,СГИ!$O$3:$P$22,2),HLOOKUP(Z$6,СГИ!$Q$1:$AJ$2,2))),"",INDEX(СГИ!$Q$3:$AJ$22,VLOOKUP($N16,СГИ!$O$3:$P$22,2),HLOOKUP(Z$6,СГИ!$Q$1:$AJ$2,2)))=1,CONCATENATE("при измерении ",$N16," ",Z$6," не допускается ! "),"")</f>
      </c>
      <c r="AA16" s="219">
        <f>IF(IF(ISNA(INDEX(СГИ!$Q$3:$AJ$22,VLOOKUP($N16,СГИ!$O$3:$P$22,2),HLOOKUP(AA$6,СГИ!$Q$1:$AJ$2,2))),"",INDEX(СГИ!$Q$3:$AJ$22,VLOOKUP($N16,СГИ!$O$3:$P$22,2),HLOOKUP(AA$6,СГИ!$Q$1:$AJ$2,2)))=1,CONCATENATE("при измерении ",$N16," ",AA$6," не допускается ! "),"")</f>
      </c>
      <c r="AB16" s="219">
        <f>IF(IF(ISNA(INDEX(СГИ!$Q$3:$AJ$22,VLOOKUP($N16,СГИ!$O$3:$P$22,2),HLOOKUP(AB$6,СГИ!$Q$1:$AJ$2,2))),"",INDEX(СГИ!$Q$3:$AJ$22,VLOOKUP($N16,СГИ!$O$3:$P$22,2),HLOOKUP(AB$6,СГИ!$Q$1:$AJ$2,2)))=1,CONCATENATE("при измерении ",$N16," ",AB$6," не допускается ! "),"")</f>
      </c>
      <c r="AC16" s="219">
        <f>IF(IF(ISNA(INDEX(СГИ!$Q$3:$AJ$22,VLOOKUP($N16,СГИ!$O$3:$P$22,2),HLOOKUP(AC$6,СГИ!$Q$1:$AJ$2,2))),"",INDEX(СГИ!$Q$3:$AJ$22,VLOOKUP($N16,СГИ!$O$3:$P$22,2),HLOOKUP(AC$6,СГИ!$Q$1:$AJ$2,2)))=1,CONCATENATE("при измерении ",$N16," ",AC$6," не допускается ! "),"")</f>
      </c>
      <c r="AD16" s="219">
        <f>IF(IF(ISNA(INDEX(СГИ!$Q$3:$AJ$22,VLOOKUP($N16,СГИ!$O$3:$P$22,2),HLOOKUP(AD$6,СГИ!$Q$1:$AJ$2,2))),"",INDEX(СГИ!$Q$3:$AJ$22,VLOOKUP($N16,СГИ!$O$3:$P$22,2),HLOOKUP(AD$6,СГИ!$Q$1:$AJ$2,2)))=1,CONCATENATE("при измерении ",$N16," ",AD$6," не допускается ! "),"")</f>
      </c>
      <c r="AE16" s="219">
        <f>IF(IF(ISNA(INDEX(СГИ!$Q$3:$AJ$22,VLOOKUP($N16,СГИ!$O$3:$P$22,2),HLOOKUP(AE$6,СГИ!$Q$1:$AJ$2,2))),"",INDEX(СГИ!$Q$3:$AJ$22,VLOOKUP($N16,СГИ!$O$3:$P$22,2),HLOOKUP(AE$6,СГИ!$Q$1:$AJ$2,2)))=1,CONCATENATE("при измерении ",$N16," ",AE$6," не допускается ! "),"")</f>
      </c>
      <c r="AF16" s="254">
        <f>IF(IF(ISNA(INDEX(СГИ!$Q$3:$AJ$22,VLOOKUP($N16,СГИ!$O$3:$P$22,2),HLOOKUP(AF$6,СГИ!$Q$1:$AJ$2,2))),"",INDEX(СГИ!$Q$3:$AJ$22,VLOOKUP($N16,СГИ!$O$3:$P$22,2),HLOOKUP(AF$6,СГИ!$Q$1:$AJ$2,2)))=1,CONCATENATE("при измерении ",$N16," ",AF$6," не допускается ! "),"")</f>
      </c>
      <c r="AG16">
        <f t="shared" si="2"/>
      </c>
    </row>
    <row r="17" spans="1:33" ht="15" customHeight="1" thickBot="1">
      <c r="A17" s="1028"/>
      <c r="B17" s="222" t="s">
        <v>333</v>
      </c>
      <c r="C17" s="280"/>
      <c r="D17" s="1017" t="str">
        <f t="shared" si="3"/>
        <v>&lt;- введите данные, если необходимо</v>
      </c>
      <c r="E17" s="545"/>
      <c r="F17" s="1120"/>
      <c r="G17" s="1121"/>
      <c r="H17" s="524">
        <f t="shared" si="0"/>
      </c>
      <c r="I17" s="484">
        <f t="shared" si="1"/>
        <v>0</v>
      </c>
      <c r="J17" s="247"/>
      <c r="L17" s="493">
        <f>IF(C17&gt;0,ПГ!S17,"")</f>
      </c>
      <c r="N17" s="218">
        <f t="shared" si="4"/>
      </c>
      <c r="O17" s="219">
        <f>IF(IF(ISNA(INDEX(СГИ!$Q$3:$AJ$22,VLOOKUP($N17,СГИ!$O$3:$P$22,2),HLOOKUP(O$6,СГИ!$Q$1:$AJ$2,2))),"",INDEX(СГИ!$Q$3:$AJ$22,VLOOKUP($N17,СГИ!$O$3:$P$22,2),HLOOKUP(O$6,СГИ!$Q$1:$AJ$2,2)))=1,CONCATENATE("при измерении ",$N17," ",O$6," не допускается ! "),"")</f>
      </c>
      <c r="P17" s="219">
        <f>IF(IF(ISNA(INDEX(СГИ!$Q$3:$AJ$22,VLOOKUP($N17,СГИ!$O$3:$P$22,2),HLOOKUP(P$6,СГИ!$Q$1:$AJ$2,2))),"",INDEX(СГИ!$Q$3:$AJ$22,VLOOKUP($N17,СГИ!$O$3:$P$22,2),HLOOKUP(P$6,СГИ!$Q$1:$AJ$2,2)))=1,CONCATENATE("при измерении ",$N17," ",P$6," не допускается ! "),"")</f>
      </c>
      <c r="Q17" s="219">
        <f>IF(IF(ISNA(INDEX(СГИ!$Q$3:$AJ$22,VLOOKUP($N17,СГИ!$O$3:$P$22,2),HLOOKUP(Q$6,СГИ!$Q$1:$AJ$2,2))),"",INDEX(СГИ!$Q$3:$AJ$22,VLOOKUP($N17,СГИ!$O$3:$P$22,2),HLOOKUP(Q$6,СГИ!$Q$1:$AJ$2,2)))=1,CONCATENATE("при измерении ",$N17," ",Q$6," не допускается ! "),"")</f>
      </c>
      <c r="R17" s="219">
        <f>IF(IF(ISNA(INDEX(СГИ!$Q$3:$AJ$22,VLOOKUP($N17,СГИ!$O$3:$P$22,2),HLOOKUP(R$6,СГИ!$Q$1:$AJ$2,2))),"",INDEX(СГИ!$Q$3:$AJ$22,VLOOKUP($N17,СГИ!$O$3:$P$22,2),HLOOKUP(R$6,СГИ!$Q$1:$AJ$2,2)))=1,CONCATENATE("при измерении ",$N17," ",R$6," не допускается ! "),"")</f>
      </c>
      <c r="S17" s="219">
        <f>IF(IF(ISNA(INDEX(СГИ!$Q$3:$AJ$22,VLOOKUP($N17,СГИ!$O$3:$P$22,2),HLOOKUP(S$6,СГИ!$Q$1:$AJ$2,2))),"",INDEX(СГИ!$Q$3:$AJ$22,VLOOKUP($N17,СГИ!$O$3:$P$22,2),HLOOKUP(S$6,СГИ!$Q$1:$AJ$2,2)))=1,CONCATENATE("при измерении ",$N17," ",S$6," не допускается ! "),"")</f>
      </c>
      <c r="T17" s="219">
        <f>IF(IF(ISNA(INDEX(СГИ!$Q$3:$AJ$22,VLOOKUP($N17,СГИ!$O$3:$P$22,2),HLOOKUP(T$6,СГИ!$Q$1:$AJ$2,2))),"",INDEX(СГИ!$Q$3:$AJ$22,VLOOKUP($N17,СГИ!$O$3:$P$22,2),HLOOKUP(T$6,СГИ!$Q$1:$AJ$2,2)))=1,CONCATENATE("при измерении ",$N17," ",T$6," не допускается ! "),"")</f>
      </c>
      <c r="U17" s="219">
        <f>IF(IF(ISNA(INDEX(СГИ!$Q$3:$AJ$22,VLOOKUP($N17,СГИ!$O$3:$P$22,2),HLOOKUP(U$6,СГИ!$Q$1:$AJ$2,2))),"",INDEX(СГИ!$Q$3:$AJ$22,VLOOKUP($N17,СГИ!$O$3:$P$22,2),HLOOKUP(U$6,СГИ!$Q$1:$AJ$2,2)))=1,CONCATENATE("при измерении ",$N17," ",U$6," не допускается ! "),"")</f>
      </c>
      <c r="V17" s="219">
        <f>IF(IF(ISNA(INDEX(СГИ!$Q$3:$AJ$22,VLOOKUP($N17,СГИ!$O$3:$P$22,2),HLOOKUP(V$6,СГИ!$Q$1:$AJ$2,2))),"",INDEX(СГИ!$Q$3:$AJ$22,VLOOKUP($N17,СГИ!$O$3:$P$22,2),HLOOKUP(V$6,СГИ!$Q$1:$AJ$2,2)))=1,CONCATENATE("при измерении ",$N17," ",V$6," не допускается ! "),"")</f>
      </c>
      <c r="W17" s="219">
        <f>IF(IF(ISNA(INDEX(СГИ!$Q$3:$AJ$22,VLOOKUP($N17,СГИ!$O$3:$P$22,2),HLOOKUP(W$6,СГИ!$Q$1:$AJ$2,2))),"",INDEX(СГИ!$Q$3:$AJ$22,VLOOKUP($N17,СГИ!$O$3:$P$22,2),HLOOKUP(W$6,СГИ!$Q$1:$AJ$2,2)))=1,CONCATENATE("при измерении ",$N17," ",W$6," не допускается ! "),"")</f>
      </c>
      <c r="X17" s="219">
        <f>IF(IF(ISNA(INDEX(СГИ!$Q$3:$AJ$22,VLOOKUP($N17,СГИ!$O$3:$P$22,2),HLOOKUP(X$6,СГИ!$Q$1:$AJ$2,2))),"",INDEX(СГИ!$Q$3:$AJ$22,VLOOKUP($N17,СГИ!$O$3:$P$22,2),HLOOKUP(X$6,СГИ!$Q$1:$AJ$2,2)))=1,CONCATENATE("при измерении ",$N17," ",X$6," не допускается ! "),"")</f>
      </c>
      <c r="Y17" s="219">
        <f>IF(IF(ISNA(INDEX(СГИ!$Q$3:$AJ$22,VLOOKUP($N17,СГИ!$O$3:$P$22,2),HLOOKUP(Y$6,СГИ!$Q$1:$AJ$2,2))),"",INDEX(СГИ!$Q$3:$AJ$22,VLOOKUP($N17,СГИ!$O$3:$P$22,2),HLOOKUP(Y$6,СГИ!$Q$1:$AJ$2,2)))=1,CONCATENATE("при измерении ",$N17," ",Y$6," не допускается ! "),"")</f>
      </c>
      <c r="Z17" s="219">
        <f>IF(IF(ISNA(INDEX(СГИ!$Q$3:$AJ$22,VLOOKUP($N17,СГИ!$O$3:$P$22,2),HLOOKUP(Z$6,СГИ!$Q$1:$AJ$2,2))),"",INDEX(СГИ!$Q$3:$AJ$22,VLOOKUP($N17,СГИ!$O$3:$P$22,2),HLOOKUP(Z$6,СГИ!$Q$1:$AJ$2,2)))=1,CONCATENATE("при измерении ",$N17," ",Z$6," не допускается ! "),"")</f>
      </c>
      <c r="AA17" s="219">
        <f>IF(IF(ISNA(INDEX(СГИ!$Q$3:$AJ$22,VLOOKUP($N17,СГИ!$O$3:$P$22,2),HLOOKUP(AA$6,СГИ!$Q$1:$AJ$2,2))),"",INDEX(СГИ!$Q$3:$AJ$22,VLOOKUP($N17,СГИ!$O$3:$P$22,2),HLOOKUP(AA$6,СГИ!$Q$1:$AJ$2,2)))=1,CONCATENATE("при измерении ",$N17," ",AA$6," не допускается ! "),"")</f>
      </c>
      <c r="AB17" s="219">
        <f>IF(IF(ISNA(INDEX(СГИ!$Q$3:$AJ$22,VLOOKUP($N17,СГИ!$O$3:$P$22,2),HLOOKUP(AB$6,СГИ!$Q$1:$AJ$2,2))),"",INDEX(СГИ!$Q$3:$AJ$22,VLOOKUP($N17,СГИ!$O$3:$P$22,2),HLOOKUP(AB$6,СГИ!$Q$1:$AJ$2,2)))=1,CONCATENATE("при измерении ",$N17," ",AB$6," не допускается ! "),"")</f>
      </c>
      <c r="AC17" s="219">
        <f>IF(IF(ISNA(INDEX(СГИ!$Q$3:$AJ$22,VLOOKUP($N17,СГИ!$O$3:$P$22,2),HLOOKUP(AC$6,СГИ!$Q$1:$AJ$2,2))),"",INDEX(СГИ!$Q$3:$AJ$22,VLOOKUP($N17,СГИ!$O$3:$P$22,2),HLOOKUP(AC$6,СГИ!$Q$1:$AJ$2,2)))=1,CONCATENATE("при измерении ",$N17," ",AC$6," не допускается ! "),"")</f>
      </c>
      <c r="AD17" s="219">
        <f>IF(IF(ISNA(INDEX(СГИ!$Q$3:$AJ$22,VLOOKUP($N17,СГИ!$O$3:$P$22,2),HLOOKUP(AD$6,СГИ!$Q$1:$AJ$2,2))),"",INDEX(СГИ!$Q$3:$AJ$22,VLOOKUP($N17,СГИ!$O$3:$P$22,2),HLOOKUP(AD$6,СГИ!$Q$1:$AJ$2,2)))=1,CONCATENATE("при измерении ",$N17," ",AD$6," не допускается ! "),"")</f>
      </c>
      <c r="AE17" s="219">
        <f>IF(IF(ISNA(INDEX(СГИ!$Q$3:$AJ$22,VLOOKUP($N17,СГИ!$O$3:$P$22,2),HLOOKUP(AE$6,СГИ!$Q$1:$AJ$2,2))),"",INDEX(СГИ!$Q$3:$AJ$22,VLOOKUP($N17,СГИ!$O$3:$P$22,2),HLOOKUP(AE$6,СГИ!$Q$1:$AJ$2,2)))=1,CONCATENATE("при измерении ",$N17," ",AE$6," не допускается ! "),"")</f>
      </c>
      <c r="AF17" s="254">
        <f>IF(IF(ISNA(INDEX(СГИ!$Q$3:$AJ$22,VLOOKUP($N17,СГИ!$O$3:$P$22,2),HLOOKUP(AF$6,СГИ!$Q$1:$AJ$2,2))),"",INDEX(СГИ!$Q$3:$AJ$22,VLOOKUP($N17,СГИ!$O$3:$P$22,2),HLOOKUP(AF$6,СГИ!$Q$1:$AJ$2,2)))=1,CONCATENATE("при измерении ",$N17," ",AF$6," не допускается ! "),"")</f>
      </c>
      <c r="AG17">
        <f t="shared" si="2"/>
      </c>
    </row>
    <row r="18" spans="1:33" ht="15" customHeight="1" thickBot="1">
      <c r="A18" s="1020"/>
      <c r="B18" s="222" t="s">
        <v>334</v>
      </c>
      <c r="C18" s="280"/>
      <c r="D18" s="1017" t="str">
        <f t="shared" si="3"/>
        <v>&lt;- введите данные, если необходимо</v>
      </c>
      <c r="E18" s="545"/>
      <c r="F18" s="1120"/>
      <c r="G18" s="1121"/>
      <c r="H18" s="524">
        <f t="shared" si="0"/>
      </c>
      <c r="I18" s="484">
        <f t="shared" si="1"/>
        <v>0</v>
      </c>
      <c r="J18" s="247"/>
      <c r="L18" s="493">
        <f>IF(C18&gt;0,ПГ!S18,"")</f>
      </c>
      <c r="N18" s="218">
        <f t="shared" si="4"/>
      </c>
      <c r="O18" s="219">
        <f>IF(IF(ISNA(INDEX(СГИ!$Q$3:$AJ$22,VLOOKUP($N18,СГИ!$O$3:$P$22,2),HLOOKUP(O$6,СГИ!$Q$1:$AJ$2,2))),"",INDEX(СГИ!$Q$3:$AJ$22,VLOOKUP($N18,СГИ!$O$3:$P$22,2),HLOOKUP(O$6,СГИ!$Q$1:$AJ$2,2)))=1,CONCATENATE("при измерении ",$N18," ",O$6," не допускается ! "),"")</f>
      </c>
      <c r="P18" s="219">
        <f>IF(IF(ISNA(INDEX(СГИ!$Q$3:$AJ$22,VLOOKUP($N18,СГИ!$O$3:$P$22,2),HLOOKUP(P$6,СГИ!$Q$1:$AJ$2,2))),"",INDEX(СГИ!$Q$3:$AJ$22,VLOOKUP($N18,СГИ!$O$3:$P$22,2),HLOOKUP(P$6,СГИ!$Q$1:$AJ$2,2)))=1,CONCATENATE("при измерении ",$N18," ",P$6," не допускается ! "),"")</f>
      </c>
      <c r="Q18" s="219">
        <f>IF(IF(ISNA(INDEX(СГИ!$Q$3:$AJ$22,VLOOKUP($N18,СГИ!$O$3:$P$22,2),HLOOKUP(Q$6,СГИ!$Q$1:$AJ$2,2))),"",INDEX(СГИ!$Q$3:$AJ$22,VLOOKUP($N18,СГИ!$O$3:$P$22,2),HLOOKUP(Q$6,СГИ!$Q$1:$AJ$2,2)))=1,CONCATENATE("при измерении ",$N18," ",Q$6," не допускается ! "),"")</f>
      </c>
      <c r="R18" s="219">
        <f>IF(IF(ISNA(INDEX(СГИ!$Q$3:$AJ$22,VLOOKUP($N18,СГИ!$O$3:$P$22,2),HLOOKUP(R$6,СГИ!$Q$1:$AJ$2,2))),"",INDEX(СГИ!$Q$3:$AJ$22,VLOOKUP($N18,СГИ!$O$3:$P$22,2),HLOOKUP(R$6,СГИ!$Q$1:$AJ$2,2)))=1,CONCATENATE("при измерении ",$N18," ",R$6," не допускается ! "),"")</f>
      </c>
      <c r="S18" s="219">
        <f>IF(IF(ISNA(INDEX(СГИ!$Q$3:$AJ$22,VLOOKUP($N18,СГИ!$O$3:$P$22,2),HLOOKUP(S$6,СГИ!$Q$1:$AJ$2,2))),"",INDEX(СГИ!$Q$3:$AJ$22,VLOOKUP($N18,СГИ!$O$3:$P$22,2),HLOOKUP(S$6,СГИ!$Q$1:$AJ$2,2)))=1,CONCATENATE("при измерении ",$N18," ",S$6," не допускается ! "),"")</f>
      </c>
      <c r="T18" s="219">
        <f>IF(IF(ISNA(INDEX(СГИ!$Q$3:$AJ$22,VLOOKUP($N18,СГИ!$O$3:$P$22,2),HLOOKUP(T$6,СГИ!$Q$1:$AJ$2,2))),"",INDEX(СГИ!$Q$3:$AJ$22,VLOOKUP($N18,СГИ!$O$3:$P$22,2),HLOOKUP(T$6,СГИ!$Q$1:$AJ$2,2)))=1,CONCATENATE("при измерении ",$N18," ",T$6," не допускается ! "),"")</f>
      </c>
      <c r="U18" s="219">
        <f>IF(IF(ISNA(INDEX(СГИ!$Q$3:$AJ$22,VLOOKUP($N18,СГИ!$O$3:$P$22,2),HLOOKUP(U$6,СГИ!$Q$1:$AJ$2,2))),"",INDEX(СГИ!$Q$3:$AJ$22,VLOOKUP($N18,СГИ!$O$3:$P$22,2),HLOOKUP(U$6,СГИ!$Q$1:$AJ$2,2)))=1,CONCATENATE("при измерении ",$N18," ",U$6," не допускается ! "),"")</f>
      </c>
      <c r="V18" s="219">
        <f>IF(IF(ISNA(INDEX(СГИ!$Q$3:$AJ$22,VLOOKUP($N18,СГИ!$O$3:$P$22,2),HLOOKUP(V$6,СГИ!$Q$1:$AJ$2,2))),"",INDEX(СГИ!$Q$3:$AJ$22,VLOOKUP($N18,СГИ!$O$3:$P$22,2),HLOOKUP(V$6,СГИ!$Q$1:$AJ$2,2)))=1,CONCATENATE("при измерении ",$N18," ",V$6," не допускается ! "),"")</f>
      </c>
      <c r="W18" s="219">
        <f>IF(IF(ISNA(INDEX(СГИ!$Q$3:$AJ$22,VLOOKUP($N18,СГИ!$O$3:$P$22,2),HLOOKUP(W$6,СГИ!$Q$1:$AJ$2,2))),"",INDEX(СГИ!$Q$3:$AJ$22,VLOOKUP($N18,СГИ!$O$3:$P$22,2),HLOOKUP(W$6,СГИ!$Q$1:$AJ$2,2)))=1,CONCATENATE("при измерении ",$N18," ",W$6," не допускается ! "),"")</f>
      </c>
      <c r="X18" s="219">
        <f>IF(IF(ISNA(INDEX(СГИ!$Q$3:$AJ$22,VLOOKUP($N18,СГИ!$O$3:$P$22,2),HLOOKUP(X$6,СГИ!$Q$1:$AJ$2,2))),"",INDEX(СГИ!$Q$3:$AJ$22,VLOOKUP($N18,СГИ!$O$3:$P$22,2),HLOOKUP(X$6,СГИ!$Q$1:$AJ$2,2)))=1,CONCATENATE("при измерении ",$N18," ",X$6," не допускается ! "),"")</f>
      </c>
      <c r="Y18" s="219">
        <f>IF(IF(ISNA(INDEX(СГИ!$Q$3:$AJ$22,VLOOKUP($N18,СГИ!$O$3:$P$22,2),HLOOKUP(Y$6,СГИ!$Q$1:$AJ$2,2))),"",INDEX(СГИ!$Q$3:$AJ$22,VLOOKUP($N18,СГИ!$O$3:$P$22,2),HLOOKUP(Y$6,СГИ!$Q$1:$AJ$2,2)))=1,CONCATENATE("при измерении ",$N18," ",Y$6," не допускается ! "),"")</f>
      </c>
      <c r="Z18" s="219">
        <f>IF(IF(ISNA(INDEX(СГИ!$Q$3:$AJ$22,VLOOKUP($N18,СГИ!$O$3:$P$22,2),HLOOKUP(Z$6,СГИ!$Q$1:$AJ$2,2))),"",INDEX(СГИ!$Q$3:$AJ$22,VLOOKUP($N18,СГИ!$O$3:$P$22,2),HLOOKUP(Z$6,СГИ!$Q$1:$AJ$2,2)))=1,CONCATENATE("при измерении ",$N18," ",Z$6," не допускается ! "),"")</f>
      </c>
      <c r="AA18" s="219">
        <f>IF(IF(ISNA(INDEX(СГИ!$Q$3:$AJ$22,VLOOKUP($N18,СГИ!$O$3:$P$22,2),HLOOKUP(AA$6,СГИ!$Q$1:$AJ$2,2))),"",INDEX(СГИ!$Q$3:$AJ$22,VLOOKUP($N18,СГИ!$O$3:$P$22,2),HLOOKUP(AA$6,СГИ!$Q$1:$AJ$2,2)))=1,CONCATENATE("при измерении ",$N18," ",AA$6," не допускается ! "),"")</f>
      </c>
      <c r="AB18" s="219">
        <f>IF(IF(ISNA(INDEX(СГИ!$Q$3:$AJ$22,VLOOKUP($N18,СГИ!$O$3:$P$22,2),HLOOKUP(AB$6,СГИ!$Q$1:$AJ$2,2))),"",INDEX(СГИ!$Q$3:$AJ$22,VLOOKUP($N18,СГИ!$O$3:$P$22,2),HLOOKUP(AB$6,СГИ!$Q$1:$AJ$2,2)))=1,CONCATENATE("при измерении ",$N18," ",AB$6," не допускается ! "),"")</f>
      </c>
      <c r="AC18" s="219">
        <f>IF(IF(ISNA(INDEX(СГИ!$Q$3:$AJ$22,VLOOKUP($N18,СГИ!$O$3:$P$22,2),HLOOKUP(AC$6,СГИ!$Q$1:$AJ$2,2))),"",INDEX(СГИ!$Q$3:$AJ$22,VLOOKUP($N18,СГИ!$O$3:$P$22,2),HLOOKUP(AC$6,СГИ!$Q$1:$AJ$2,2)))=1,CONCATENATE("при измерении ",$N18," ",AC$6," не допускается ! "),"")</f>
      </c>
      <c r="AD18" s="219">
        <f>IF(IF(ISNA(INDEX(СГИ!$Q$3:$AJ$22,VLOOKUP($N18,СГИ!$O$3:$P$22,2),HLOOKUP(AD$6,СГИ!$Q$1:$AJ$2,2))),"",INDEX(СГИ!$Q$3:$AJ$22,VLOOKUP($N18,СГИ!$O$3:$P$22,2),HLOOKUP(AD$6,СГИ!$Q$1:$AJ$2,2)))=1,CONCATENATE("при измерении ",$N18," ",AD$6," не допускается ! "),"")</f>
      </c>
      <c r="AE18" s="219">
        <f>IF(IF(ISNA(INDEX(СГИ!$Q$3:$AJ$22,VLOOKUP($N18,СГИ!$O$3:$P$22,2),HLOOKUP(AE$6,СГИ!$Q$1:$AJ$2,2))),"",INDEX(СГИ!$Q$3:$AJ$22,VLOOKUP($N18,СГИ!$O$3:$P$22,2),HLOOKUP(AE$6,СГИ!$Q$1:$AJ$2,2)))=1,CONCATENATE("при измерении ",$N18," ",AE$6," не допускается ! "),"")</f>
      </c>
      <c r="AF18" s="254">
        <f>IF(IF(ISNA(INDEX(СГИ!$Q$3:$AJ$22,VLOOKUP($N18,СГИ!$O$3:$P$22,2),HLOOKUP(AF$6,СГИ!$Q$1:$AJ$2,2))),"",INDEX(СГИ!$Q$3:$AJ$22,VLOOKUP($N18,СГИ!$O$3:$P$22,2),HLOOKUP(AF$6,СГИ!$Q$1:$AJ$2,2)))=1,CONCATENATE("при измерении ",$N18," ",AF$6," не допускается ! "),"")</f>
      </c>
      <c r="AG18">
        <f t="shared" si="2"/>
      </c>
    </row>
    <row r="19" spans="1:33" ht="15" customHeight="1" thickBot="1">
      <c r="A19" s="1020"/>
      <c r="B19" s="222" t="s">
        <v>335</v>
      </c>
      <c r="C19" s="280"/>
      <c r="D19" s="1017" t="str">
        <f t="shared" si="3"/>
        <v>&lt;- введите данные, если необходимо</v>
      </c>
      <c r="E19" s="545"/>
      <c r="F19" s="1120"/>
      <c r="G19" s="1121"/>
      <c r="H19" s="524">
        <f t="shared" si="0"/>
      </c>
      <c r="I19" s="484">
        <f t="shared" si="1"/>
        <v>0</v>
      </c>
      <c r="J19" s="247"/>
      <c r="L19" s="493">
        <f>IF(C19&gt;0,ПГ!S19,"")</f>
      </c>
      <c r="N19" s="218">
        <f t="shared" si="4"/>
      </c>
      <c r="O19" s="219">
        <f>IF(IF(ISNA(INDEX(СГИ!$Q$3:$AJ$22,VLOOKUP($N19,СГИ!$O$3:$P$22,2),HLOOKUP(O$6,СГИ!$Q$1:$AJ$2,2))),"",INDEX(СГИ!$Q$3:$AJ$22,VLOOKUP($N19,СГИ!$O$3:$P$22,2),HLOOKUP(O$6,СГИ!$Q$1:$AJ$2,2)))=1,CONCATENATE("при измерении ",$N19," ",O$6," не допускается ! "),"")</f>
      </c>
      <c r="P19" s="219">
        <f>IF(IF(ISNA(INDEX(СГИ!$Q$3:$AJ$22,VLOOKUP($N19,СГИ!$O$3:$P$22,2),HLOOKUP(P$6,СГИ!$Q$1:$AJ$2,2))),"",INDEX(СГИ!$Q$3:$AJ$22,VLOOKUP($N19,СГИ!$O$3:$P$22,2),HLOOKUP(P$6,СГИ!$Q$1:$AJ$2,2)))=1,CONCATENATE("при измерении ",$N19," ",P$6," не допускается ! "),"")</f>
      </c>
      <c r="Q19" s="219">
        <f>IF(IF(ISNA(INDEX(СГИ!$Q$3:$AJ$22,VLOOKUP($N19,СГИ!$O$3:$P$22,2),HLOOKUP(Q$6,СГИ!$Q$1:$AJ$2,2))),"",INDEX(СГИ!$Q$3:$AJ$22,VLOOKUP($N19,СГИ!$O$3:$P$22,2),HLOOKUP(Q$6,СГИ!$Q$1:$AJ$2,2)))=1,CONCATENATE("при измерении ",$N19," ",Q$6," не допускается ! "),"")</f>
      </c>
      <c r="R19" s="219">
        <f>IF(IF(ISNA(INDEX(СГИ!$Q$3:$AJ$22,VLOOKUP($N19,СГИ!$O$3:$P$22,2),HLOOKUP(R$6,СГИ!$Q$1:$AJ$2,2))),"",INDEX(СГИ!$Q$3:$AJ$22,VLOOKUP($N19,СГИ!$O$3:$P$22,2),HLOOKUP(R$6,СГИ!$Q$1:$AJ$2,2)))=1,CONCATENATE("при измерении ",$N19," ",R$6," не допускается ! "),"")</f>
      </c>
      <c r="S19" s="219">
        <f>IF(IF(ISNA(INDEX(СГИ!$Q$3:$AJ$22,VLOOKUP($N19,СГИ!$O$3:$P$22,2),HLOOKUP(S$6,СГИ!$Q$1:$AJ$2,2))),"",INDEX(СГИ!$Q$3:$AJ$22,VLOOKUP($N19,СГИ!$O$3:$P$22,2),HLOOKUP(S$6,СГИ!$Q$1:$AJ$2,2)))=1,CONCATENATE("при измерении ",$N19," ",S$6," не допускается ! "),"")</f>
      </c>
      <c r="T19" s="219">
        <f>IF(IF(ISNA(INDEX(СГИ!$Q$3:$AJ$22,VLOOKUP($N19,СГИ!$O$3:$P$22,2),HLOOKUP(T$6,СГИ!$Q$1:$AJ$2,2))),"",INDEX(СГИ!$Q$3:$AJ$22,VLOOKUP($N19,СГИ!$O$3:$P$22,2),HLOOKUP(T$6,СГИ!$Q$1:$AJ$2,2)))=1,CONCATENATE("при измерении ",$N19," ",T$6," не допускается ! "),"")</f>
      </c>
      <c r="U19" s="219">
        <f>IF(IF(ISNA(INDEX(СГИ!$Q$3:$AJ$22,VLOOKUP($N19,СГИ!$O$3:$P$22,2),HLOOKUP(U$6,СГИ!$Q$1:$AJ$2,2))),"",INDEX(СГИ!$Q$3:$AJ$22,VLOOKUP($N19,СГИ!$O$3:$P$22,2),HLOOKUP(U$6,СГИ!$Q$1:$AJ$2,2)))=1,CONCATENATE("при измерении ",$N19," ",U$6," не допускается ! "),"")</f>
      </c>
      <c r="V19" s="219">
        <f>IF(IF(ISNA(INDEX(СГИ!$Q$3:$AJ$22,VLOOKUP($N19,СГИ!$O$3:$P$22,2),HLOOKUP(V$6,СГИ!$Q$1:$AJ$2,2))),"",INDEX(СГИ!$Q$3:$AJ$22,VLOOKUP($N19,СГИ!$O$3:$P$22,2),HLOOKUP(V$6,СГИ!$Q$1:$AJ$2,2)))=1,CONCATENATE("при измерении ",$N19," ",V$6," не допускается ! "),"")</f>
      </c>
      <c r="W19" s="219">
        <f>IF(IF(ISNA(INDEX(СГИ!$Q$3:$AJ$22,VLOOKUP($N19,СГИ!$O$3:$P$22,2),HLOOKUP(W$6,СГИ!$Q$1:$AJ$2,2))),"",INDEX(СГИ!$Q$3:$AJ$22,VLOOKUP($N19,СГИ!$O$3:$P$22,2),HLOOKUP(W$6,СГИ!$Q$1:$AJ$2,2)))=1,CONCATENATE("при измерении ",$N19," ",W$6," не допускается ! "),"")</f>
      </c>
      <c r="X19" s="219">
        <f>IF(IF(ISNA(INDEX(СГИ!$Q$3:$AJ$22,VLOOKUP($N19,СГИ!$O$3:$P$22,2),HLOOKUP(X$6,СГИ!$Q$1:$AJ$2,2))),"",INDEX(СГИ!$Q$3:$AJ$22,VLOOKUP($N19,СГИ!$O$3:$P$22,2),HLOOKUP(X$6,СГИ!$Q$1:$AJ$2,2)))=1,CONCATENATE("при измерении ",$N19," ",X$6," не допускается ! "),"")</f>
      </c>
      <c r="Y19" s="219">
        <f>IF(IF(ISNA(INDEX(СГИ!$Q$3:$AJ$22,VLOOKUP($N19,СГИ!$O$3:$P$22,2),HLOOKUP(Y$6,СГИ!$Q$1:$AJ$2,2))),"",INDEX(СГИ!$Q$3:$AJ$22,VLOOKUP($N19,СГИ!$O$3:$P$22,2),HLOOKUP(Y$6,СГИ!$Q$1:$AJ$2,2)))=1,CONCATENATE("при измерении ",$N19," ",Y$6," не допускается ! "),"")</f>
      </c>
      <c r="Z19" s="219">
        <f>IF(IF(ISNA(INDEX(СГИ!$Q$3:$AJ$22,VLOOKUP($N19,СГИ!$O$3:$P$22,2),HLOOKUP(Z$6,СГИ!$Q$1:$AJ$2,2))),"",INDEX(СГИ!$Q$3:$AJ$22,VLOOKUP($N19,СГИ!$O$3:$P$22,2),HLOOKUP(Z$6,СГИ!$Q$1:$AJ$2,2)))=1,CONCATENATE("при измерении ",$N19," ",Z$6," не допускается ! "),"")</f>
      </c>
      <c r="AA19" s="219">
        <f>IF(IF(ISNA(INDEX(СГИ!$Q$3:$AJ$22,VLOOKUP($N19,СГИ!$O$3:$P$22,2),HLOOKUP(AA$6,СГИ!$Q$1:$AJ$2,2))),"",INDEX(СГИ!$Q$3:$AJ$22,VLOOKUP($N19,СГИ!$O$3:$P$22,2),HLOOKUP(AA$6,СГИ!$Q$1:$AJ$2,2)))=1,CONCATENATE("при измерении ",$N19," ",AA$6," не допускается ! "),"")</f>
      </c>
      <c r="AB19" s="219">
        <f>IF(IF(ISNA(INDEX(СГИ!$Q$3:$AJ$22,VLOOKUP($N19,СГИ!$O$3:$P$22,2),HLOOKUP(AB$6,СГИ!$Q$1:$AJ$2,2))),"",INDEX(СГИ!$Q$3:$AJ$22,VLOOKUP($N19,СГИ!$O$3:$P$22,2),HLOOKUP(AB$6,СГИ!$Q$1:$AJ$2,2)))=1,CONCATENATE("при измерении ",$N19," ",AB$6," не допускается ! "),"")</f>
      </c>
      <c r="AC19" s="219">
        <f>IF(IF(ISNA(INDEX(СГИ!$Q$3:$AJ$22,VLOOKUP($N19,СГИ!$O$3:$P$22,2),HLOOKUP(AC$6,СГИ!$Q$1:$AJ$2,2))),"",INDEX(СГИ!$Q$3:$AJ$22,VLOOKUP($N19,СГИ!$O$3:$P$22,2),HLOOKUP(AC$6,СГИ!$Q$1:$AJ$2,2)))=1,CONCATENATE("при измерении ",$N19," ",AC$6," не допускается ! "),"")</f>
      </c>
      <c r="AD19" s="219">
        <f>IF(IF(ISNA(INDEX(СГИ!$Q$3:$AJ$22,VLOOKUP($N19,СГИ!$O$3:$P$22,2),HLOOKUP(AD$6,СГИ!$Q$1:$AJ$2,2))),"",INDEX(СГИ!$Q$3:$AJ$22,VLOOKUP($N19,СГИ!$O$3:$P$22,2),HLOOKUP(AD$6,СГИ!$Q$1:$AJ$2,2)))=1,CONCATENATE("при измерении ",$N19," ",AD$6," не допускается ! "),"")</f>
      </c>
      <c r="AE19" s="219">
        <f>IF(IF(ISNA(INDEX(СГИ!$Q$3:$AJ$22,VLOOKUP($N19,СГИ!$O$3:$P$22,2),HLOOKUP(AE$6,СГИ!$Q$1:$AJ$2,2))),"",INDEX(СГИ!$Q$3:$AJ$22,VLOOKUP($N19,СГИ!$O$3:$P$22,2),HLOOKUP(AE$6,СГИ!$Q$1:$AJ$2,2)))=1,CONCATENATE("при измерении ",$N19," ",AE$6," не допускается ! "),"")</f>
      </c>
      <c r="AF19" s="254">
        <f>IF(IF(ISNA(INDEX(СГИ!$Q$3:$AJ$22,VLOOKUP($N19,СГИ!$O$3:$P$22,2),HLOOKUP(AF$6,СГИ!$Q$1:$AJ$2,2))),"",INDEX(СГИ!$Q$3:$AJ$22,VLOOKUP($N19,СГИ!$O$3:$P$22,2),HLOOKUP(AF$6,СГИ!$Q$1:$AJ$2,2)))=1,CONCATENATE("при измерении ",$N19," ",AF$6," не допускается ! "),"")</f>
      </c>
      <c r="AG19">
        <f t="shared" si="2"/>
      </c>
    </row>
    <row r="20" spans="1:33" ht="15" customHeight="1" thickBot="1">
      <c r="A20" s="1029"/>
      <c r="B20" s="222" t="s">
        <v>48</v>
      </c>
      <c r="C20" s="280"/>
      <c r="D20" s="1027" t="str">
        <f t="shared" si="3"/>
        <v>&lt;- введите данные, если необходимо</v>
      </c>
      <c r="E20" s="545"/>
      <c r="F20" s="1120"/>
      <c r="G20" s="1121"/>
      <c r="H20" s="524">
        <f t="shared" si="0"/>
      </c>
      <c r="I20" s="484">
        <f t="shared" si="1"/>
        <v>0</v>
      </c>
      <c r="J20" s="247"/>
      <c r="L20" s="493">
        <f>IF(C20&gt;0,ПГ!S20,"")</f>
      </c>
      <c r="N20" s="218">
        <f t="shared" si="4"/>
      </c>
      <c r="O20" s="219">
        <f>IF(IF(ISNA(INDEX(СГИ!$Q$3:$AJ$22,VLOOKUP($N20,СГИ!$O$3:$P$22,2),HLOOKUP(O$6,СГИ!$Q$1:$AJ$2,2))),"",INDEX(СГИ!$Q$3:$AJ$22,VLOOKUP($N20,СГИ!$O$3:$P$22,2),HLOOKUP(O$6,СГИ!$Q$1:$AJ$2,2)))=1,CONCATENATE("при измерении ",$N20," ",O$6," не допускается ! "),"")</f>
      </c>
      <c r="P20" s="219">
        <f>IF(IF(ISNA(INDEX(СГИ!$Q$3:$AJ$22,VLOOKUP($N20,СГИ!$O$3:$P$22,2),HLOOKUP(P$6,СГИ!$Q$1:$AJ$2,2))),"",INDEX(СГИ!$Q$3:$AJ$22,VLOOKUP($N20,СГИ!$O$3:$P$22,2),HLOOKUP(P$6,СГИ!$Q$1:$AJ$2,2)))=1,CONCATENATE("при измерении ",$N20," ",P$6," не допускается ! "),"")</f>
      </c>
      <c r="Q20" s="219">
        <f>IF(IF(ISNA(INDEX(СГИ!$Q$3:$AJ$22,VLOOKUP($N20,СГИ!$O$3:$P$22,2),HLOOKUP(Q$6,СГИ!$Q$1:$AJ$2,2))),"",INDEX(СГИ!$Q$3:$AJ$22,VLOOKUP($N20,СГИ!$O$3:$P$22,2),HLOOKUP(Q$6,СГИ!$Q$1:$AJ$2,2)))=1,CONCATENATE("при измерении ",$N20," ",Q$6," не допускается ! "),"")</f>
      </c>
      <c r="R20" s="219">
        <f>IF(IF(ISNA(INDEX(СГИ!$Q$3:$AJ$22,VLOOKUP($N20,СГИ!$O$3:$P$22,2),HLOOKUP(R$6,СГИ!$Q$1:$AJ$2,2))),"",INDEX(СГИ!$Q$3:$AJ$22,VLOOKUP($N20,СГИ!$O$3:$P$22,2),HLOOKUP(R$6,СГИ!$Q$1:$AJ$2,2)))=1,CONCATENATE("при измерении ",$N20," ",R$6," не допускается ! "),"")</f>
      </c>
      <c r="S20" s="219">
        <f>IF(IF(ISNA(INDEX(СГИ!$Q$3:$AJ$22,VLOOKUP($N20,СГИ!$O$3:$P$22,2),HLOOKUP(S$6,СГИ!$Q$1:$AJ$2,2))),"",INDEX(СГИ!$Q$3:$AJ$22,VLOOKUP($N20,СГИ!$O$3:$P$22,2),HLOOKUP(S$6,СГИ!$Q$1:$AJ$2,2)))=1,CONCATENATE("при измерении ",$N20," ",S$6," не допускается ! "),"")</f>
      </c>
      <c r="T20" s="219">
        <f>IF(IF(ISNA(INDEX(СГИ!$Q$3:$AJ$22,VLOOKUP($N20,СГИ!$O$3:$P$22,2),HLOOKUP(T$6,СГИ!$Q$1:$AJ$2,2))),"",INDEX(СГИ!$Q$3:$AJ$22,VLOOKUP($N20,СГИ!$O$3:$P$22,2),HLOOKUP(T$6,СГИ!$Q$1:$AJ$2,2)))=1,CONCATENATE("при измерении ",$N20," ",T$6," не допускается ! "),"")</f>
      </c>
      <c r="U20" s="219">
        <f>IF(IF(ISNA(INDEX(СГИ!$Q$3:$AJ$22,VLOOKUP($N20,СГИ!$O$3:$P$22,2),HLOOKUP(U$6,СГИ!$Q$1:$AJ$2,2))),"",INDEX(СГИ!$Q$3:$AJ$22,VLOOKUP($N20,СГИ!$O$3:$P$22,2),HLOOKUP(U$6,СГИ!$Q$1:$AJ$2,2)))=1,CONCATENATE("при измерении ",$N20," ",U$6," не допускается ! "),"")</f>
      </c>
      <c r="V20" s="219">
        <f>IF(IF(ISNA(INDEX(СГИ!$Q$3:$AJ$22,VLOOKUP($N20,СГИ!$O$3:$P$22,2),HLOOKUP(V$6,СГИ!$Q$1:$AJ$2,2))),"",INDEX(СГИ!$Q$3:$AJ$22,VLOOKUP($N20,СГИ!$O$3:$P$22,2),HLOOKUP(V$6,СГИ!$Q$1:$AJ$2,2)))=1,CONCATENATE("при измерении ",$N20," ",V$6," не допускается ! "),"")</f>
      </c>
      <c r="W20" s="219">
        <f>IF(IF(ISNA(INDEX(СГИ!$Q$3:$AJ$22,VLOOKUP($N20,СГИ!$O$3:$P$22,2),HLOOKUP(W$6,СГИ!$Q$1:$AJ$2,2))),"",INDEX(СГИ!$Q$3:$AJ$22,VLOOKUP($N20,СГИ!$O$3:$P$22,2),HLOOKUP(W$6,СГИ!$Q$1:$AJ$2,2)))=1,CONCATENATE("при измерении ",$N20," ",W$6," не допускается ! "),"")</f>
      </c>
      <c r="X20" s="219">
        <f>IF(IF(ISNA(INDEX(СГИ!$Q$3:$AJ$22,VLOOKUP($N20,СГИ!$O$3:$P$22,2),HLOOKUP(X$6,СГИ!$Q$1:$AJ$2,2))),"",INDEX(СГИ!$Q$3:$AJ$22,VLOOKUP($N20,СГИ!$O$3:$P$22,2),HLOOKUP(X$6,СГИ!$Q$1:$AJ$2,2)))=1,CONCATENATE("при измерении ",$N20," ",X$6," не допускается ! "),"")</f>
      </c>
      <c r="Y20" s="219">
        <f>IF(IF(ISNA(INDEX(СГИ!$Q$3:$AJ$22,VLOOKUP($N20,СГИ!$O$3:$P$22,2),HLOOKUP(Y$6,СГИ!$Q$1:$AJ$2,2))),"",INDEX(СГИ!$Q$3:$AJ$22,VLOOKUP($N20,СГИ!$O$3:$P$22,2),HLOOKUP(Y$6,СГИ!$Q$1:$AJ$2,2)))=1,CONCATENATE("при измерении ",$N20," ",Y$6," не допускается ! "),"")</f>
      </c>
      <c r="Z20" s="219">
        <f>IF(IF(ISNA(INDEX(СГИ!$Q$3:$AJ$22,VLOOKUP($N20,СГИ!$O$3:$P$22,2),HLOOKUP(Z$6,СГИ!$Q$1:$AJ$2,2))),"",INDEX(СГИ!$Q$3:$AJ$22,VLOOKUP($N20,СГИ!$O$3:$P$22,2),HLOOKUP(Z$6,СГИ!$Q$1:$AJ$2,2)))=1,CONCATENATE("при измерении ",$N20," ",Z$6," не допускается ! "),"")</f>
      </c>
      <c r="AA20" s="219">
        <f>IF(IF(ISNA(INDEX(СГИ!$Q$3:$AJ$22,VLOOKUP($N20,СГИ!$O$3:$P$22,2),HLOOKUP(AA$6,СГИ!$Q$1:$AJ$2,2))),"",INDEX(СГИ!$Q$3:$AJ$22,VLOOKUP($N20,СГИ!$O$3:$P$22,2),HLOOKUP(AA$6,СГИ!$Q$1:$AJ$2,2)))=1,CONCATENATE("при измерении ",$N20," ",AA$6," не допускается ! "),"")</f>
      </c>
      <c r="AB20" s="219">
        <f>IF(IF(ISNA(INDEX(СГИ!$Q$3:$AJ$22,VLOOKUP($N20,СГИ!$O$3:$P$22,2),HLOOKUP(AB$6,СГИ!$Q$1:$AJ$2,2))),"",INDEX(СГИ!$Q$3:$AJ$22,VLOOKUP($N20,СГИ!$O$3:$P$22,2),HLOOKUP(AB$6,СГИ!$Q$1:$AJ$2,2)))=1,CONCATENATE("при измерении ",$N20," ",AB$6," не допускается ! "),"")</f>
      </c>
      <c r="AC20" s="219">
        <f>IF(IF(ISNA(INDEX(СГИ!$Q$3:$AJ$22,VLOOKUP($N20,СГИ!$O$3:$P$22,2),HLOOKUP(AC$6,СГИ!$Q$1:$AJ$2,2))),"",INDEX(СГИ!$Q$3:$AJ$22,VLOOKUP($N20,СГИ!$O$3:$P$22,2),HLOOKUP(AC$6,СГИ!$Q$1:$AJ$2,2)))=1,CONCATENATE("при измерении ",$N20," ",AC$6," не допускается ! "),"")</f>
      </c>
      <c r="AD20" s="219">
        <f>IF(IF(ISNA(INDEX(СГИ!$Q$3:$AJ$22,VLOOKUP($N20,СГИ!$O$3:$P$22,2),HLOOKUP(AD$6,СГИ!$Q$1:$AJ$2,2))),"",INDEX(СГИ!$Q$3:$AJ$22,VLOOKUP($N20,СГИ!$O$3:$P$22,2),HLOOKUP(AD$6,СГИ!$Q$1:$AJ$2,2)))=1,CONCATENATE("при измерении ",$N20," ",AD$6," не допускается ! "),"")</f>
      </c>
      <c r="AE20" s="219">
        <f>IF(IF(ISNA(INDEX(СГИ!$Q$3:$AJ$22,VLOOKUP($N20,СГИ!$O$3:$P$22,2),HLOOKUP(AE$6,СГИ!$Q$1:$AJ$2,2))),"",INDEX(СГИ!$Q$3:$AJ$22,VLOOKUP($N20,СГИ!$O$3:$P$22,2),HLOOKUP(AE$6,СГИ!$Q$1:$AJ$2,2)))=1,CONCATENATE("при измерении ",$N20," ",AE$6," не допускается ! "),"")</f>
      </c>
      <c r="AF20" s="254">
        <f>IF(IF(ISNA(INDEX(СГИ!$Q$3:$AJ$22,VLOOKUP($N20,СГИ!$O$3:$P$22,2),HLOOKUP(AF$6,СГИ!$Q$1:$AJ$2,2))),"",INDEX(СГИ!$Q$3:$AJ$22,VLOOKUP($N20,СГИ!$O$3:$P$22,2),HLOOKUP(AF$6,СГИ!$Q$1:$AJ$2,2)))=1,CONCATENATE("при измерении ",$N20," ",AF$6," не допускается ! "),"")</f>
      </c>
      <c r="AG20">
        <f t="shared" si="2"/>
      </c>
    </row>
    <row r="21" spans="1:33" ht="15" customHeight="1" thickBot="1">
      <c r="A21" s="1029"/>
      <c r="B21" s="222" t="s">
        <v>117</v>
      </c>
      <c r="C21" s="280"/>
      <c r="D21" s="1027" t="str">
        <f t="shared" si="3"/>
        <v>&lt;- введите данные, если необходимо</v>
      </c>
      <c r="E21" s="545"/>
      <c r="F21" s="1120"/>
      <c r="G21" s="1121"/>
      <c r="H21" s="524">
        <f t="shared" si="0"/>
      </c>
      <c r="I21" s="484">
        <f t="shared" si="1"/>
        <v>0</v>
      </c>
      <c r="L21" s="493">
        <f>IF(C21&gt;0,ПГ!S21,"")</f>
      </c>
      <c r="N21" s="218">
        <f t="shared" si="4"/>
      </c>
      <c r="O21" s="219">
        <f>IF(IF(ISNA(INDEX(СГИ!$Q$3:$AJ$22,VLOOKUP($N21,СГИ!$O$3:$P$22,2),HLOOKUP(O$6,СГИ!$Q$1:$AJ$2,2))),"",INDEX(СГИ!$Q$3:$AJ$22,VLOOKUP($N21,СГИ!$O$3:$P$22,2),HLOOKUP(O$6,СГИ!$Q$1:$AJ$2,2)))=1,CONCATENATE("при измерении ",$N21," ",O$6," не допускается ! "),"")</f>
      </c>
      <c r="P21" s="219">
        <f>IF(IF(ISNA(INDEX(СГИ!$Q$3:$AJ$22,VLOOKUP($N21,СГИ!$O$3:$P$22,2),HLOOKUP(P$6,СГИ!$Q$1:$AJ$2,2))),"",INDEX(СГИ!$Q$3:$AJ$22,VLOOKUP($N21,СГИ!$O$3:$P$22,2),HLOOKUP(P$6,СГИ!$Q$1:$AJ$2,2)))=1,CONCATENATE("при измерении ",$N21," ",P$6," не допускается ! "),"")</f>
      </c>
      <c r="Q21" s="219">
        <f>IF(IF(ISNA(INDEX(СГИ!$Q$3:$AJ$22,VLOOKUP($N21,СГИ!$O$3:$P$22,2),HLOOKUP(Q$6,СГИ!$Q$1:$AJ$2,2))),"",INDEX(СГИ!$Q$3:$AJ$22,VLOOKUP($N21,СГИ!$O$3:$P$22,2),HLOOKUP(Q$6,СГИ!$Q$1:$AJ$2,2)))=1,CONCATENATE("при измерении ",$N21," ",Q$6," не допускается ! "),"")</f>
      </c>
      <c r="R21" s="219">
        <f>IF(IF(ISNA(INDEX(СГИ!$Q$3:$AJ$22,VLOOKUP($N21,СГИ!$O$3:$P$22,2),HLOOKUP(R$6,СГИ!$Q$1:$AJ$2,2))),"",INDEX(СГИ!$Q$3:$AJ$22,VLOOKUP($N21,СГИ!$O$3:$P$22,2),HLOOKUP(R$6,СГИ!$Q$1:$AJ$2,2)))=1,CONCATENATE("при измерении ",$N21," ",R$6," не допускается ! "),"")</f>
      </c>
      <c r="S21" s="219">
        <f>IF(IF(ISNA(INDEX(СГИ!$Q$3:$AJ$22,VLOOKUP($N21,СГИ!$O$3:$P$22,2),HLOOKUP(S$6,СГИ!$Q$1:$AJ$2,2))),"",INDEX(СГИ!$Q$3:$AJ$22,VLOOKUP($N21,СГИ!$O$3:$P$22,2),HLOOKUP(S$6,СГИ!$Q$1:$AJ$2,2)))=1,CONCATENATE("при измерении ",$N21," ",S$6," не допускается ! "),"")</f>
      </c>
      <c r="T21" s="219">
        <f>IF(IF(ISNA(INDEX(СГИ!$Q$3:$AJ$22,VLOOKUP($N21,СГИ!$O$3:$P$22,2),HLOOKUP(T$6,СГИ!$Q$1:$AJ$2,2))),"",INDEX(СГИ!$Q$3:$AJ$22,VLOOKUP($N21,СГИ!$O$3:$P$22,2),HLOOKUP(T$6,СГИ!$Q$1:$AJ$2,2)))=1,CONCATENATE("при измерении ",$N21," ",T$6," не допускается ! "),"")</f>
      </c>
      <c r="U21" s="219">
        <f>IF(IF(ISNA(INDEX(СГИ!$Q$3:$AJ$22,VLOOKUP($N21,СГИ!$O$3:$P$22,2),HLOOKUP(U$6,СГИ!$Q$1:$AJ$2,2))),"",INDEX(СГИ!$Q$3:$AJ$22,VLOOKUP($N21,СГИ!$O$3:$P$22,2),HLOOKUP(U$6,СГИ!$Q$1:$AJ$2,2)))=1,CONCATENATE("при измерении ",$N21," ",U$6," не допускается ! "),"")</f>
      </c>
      <c r="V21" s="219">
        <f>IF(IF(ISNA(INDEX(СГИ!$Q$3:$AJ$22,VLOOKUP($N21,СГИ!$O$3:$P$22,2),HLOOKUP(V$6,СГИ!$Q$1:$AJ$2,2))),"",INDEX(СГИ!$Q$3:$AJ$22,VLOOKUP($N21,СГИ!$O$3:$P$22,2),HLOOKUP(V$6,СГИ!$Q$1:$AJ$2,2)))=1,CONCATENATE("при измерении ",$N21," ",V$6," не допускается ! "),"")</f>
      </c>
      <c r="W21" s="219">
        <f>IF(IF(ISNA(INDEX(СГИ!$Q$3:$AJ$22,VLOOKUP($N21,СГИ!$O$3:$P$22,2),HLOOKUP(W$6,СГИ!$Q$1:$AJ$2,2))),"",INDEX(СГИ!$Q$3:$AJ$22,VLOOKUP($N21,СГИ!$O$3:$P$22,2),HLOOKUP(W$6,СГИ!$Q$1:$AJ$2,2)))=1,CONCATENATE("при измерении ",$N21," ",W$6," не допускается ! "),"")</f>
      </c>
      <c r="X21" s="219">
        <f>IF(IF(ISNA(INDEX(СГИ!$Q$3:$AJ$22,VLOOKUP($N21,СГИ!$O$3:$P$22,2),HLOOKUP(X$6,СГИ!$Q$1:$AJ$2,2))),"",INDEX(СГИ!$Q$3:$AJ$22,VLOOKUP($N21,СГИ!$O$3:$P$22,2),HLOOKUP(X$6,СГИ!$Q$1:$AJ$2,2)))=1,CONCATENATE("при измерении ",$N21," ",X$6," не допускается ! "),"")</f>
      </c>
      <c r="Y21" s="219">
        <f>IF(IF(ISNA(INDEX(СГИ!$Q$3:$AJ$22,VLOOKUP($N21,СГИ!$O$3:$P$22,2),HLOOKUP(Y$6,СГИ!$Q$1:$AJ$2,2))),"",INDEX(СГИ!$Q$3:$AJ$22,VLOOKUP($N21,СГИ!$O$3:$P$22,2),HLOOKUP(Y$6,СГИ!$Q$1:$AJ$2,2)))=1,CONCATENATE("при измерении ",$N21," ",Y$6," не допускается ! "),"")</f>
      </c>
      <c r="Z21" s="219">
        <f>IF(IF(ISNA(INDEX(СГИ!$Q$3:$AJ$22,VLOOKUP($N21,СГИ!$O$3:$P$22,2),HLOOKUP(Z$6,СГИ!$Q$1:$AJ$2,2))),"",INDEX(СГИ!$Q$3:$AJ$22,VLOOKUP($N21,СГИ!$O$3:$P$22,2),HLOOKUP(Z$6,СГИ!$Q$1:$AJ$2,2)))=1,CONCATENATE("при измерении ",$N21," ",Z$6," не допускается ! "),"")</f>
      </c>
      <c r="AA21" s="219">
        <f>IF(IF(ISNA(INDEX(СГИ!$Q$3:$AJ$22,VLOOKUP($N21,СГИ!$O$3:$P$22,2),HLOOKUP(AA$6,СГИ!$Q$1:$AJ$2,2))),"",INDEX(СГИ!$Q$3:$AJ$22,VLOOKUP($N21,СГИ!$O$3:$P$22,2),HLOOKUP(AA$6,СГИ!$Q$1:$AJ$2,2)))=1,CONCATENATE("при измерении ",$N21," ",AA$6," не допускается ! "),"")</f>
      </c>
      <c r="AB21" s="219">
        <f>IF(IF(ISNA(INDEX(СГИ!$Q$3:$AJ$22,VLOOKUP($N21,СГИ!$O$3:$P$22,2),HLOOKUP(AB$6,СГИ!$Q$1:$AJ$2,2))),"",INDEX(СГИ!$Q$3:$AJ$22,VLOOKUP($N21,СГИ!$O$3:$P$22,2),HLOOKUP(AB$6,СГИ!$Q$1:$AJ$2,2)))=1,CONCATENATE("при измерении ",$N21," ",AB$6," не допускается ! "),"")</f>
      </c>
      <c r="AC21" s="219">
        <f>IF(IF(ISNA(INDEX(СГИ!$Q$3:$AJ$22,VLOOKUP($N21,СГИ!$O$3:$P$22,2),HLOOKUP(AC$6,СГИ!$Q$1:$AJ$2,2))),"",INDEX(СГИ!$Q$3:$AJ$22,VLOOKUP($N21,СГИ!$O$3:$P$22,2),HLOOKUP(AC$6,СГИ!$Q$1:$AJ$2,2)))=1,CONCATENATE("при измерении ",$N21," ",AC$6," не допускается ! "),"")</f>
      </c>
      <c r="AD21" s="219">
        <f>IF(IF(ISNA(INDEX(СГИ!$Q$3:$AJ$22,VLOOKUP($N21,СГИ!$O$3:$P$22,2),HLOOKUP(AD$6,СГИ!$Q$1:$AJ$2,2))),"",INDEX(СГИ!$Q$3:$AJ$22,VLOOKUP($N21,СГИ!$O$3:$P$22,2),HLOOKUP(AD$6,СГИ!$Q$1:$AJ$2,2)))=1,CONCATENATE("при измерении ",$N21," ",AD$6," не допускается ! "),"")</f>
      </c>
      <c r="AE21" s="219">
        <f>IF(IF(ISNA(INDEX(СГИ!$Q$3:$AJ$22,VLOOKUP($N21,СГИ!$O$3:$P$22,2),HLOOKUP(AE$6,СГИ!$Q$1:$AJ$2,2))),"",INDEX(СГИ!$Q$3:$AJ$22,VLOOKUP($N21,СГИ!$O$3:$P$22,2),HLOOKUP(AE$6,СГИ!$Q$1:$AJ$2,2)))=1,CONCATENATE("при измерении ",$N21," ",AE$6," не допускается ! "),"")</f>
      </c>
      <c r="AF21" s="254">
        <f>IF(IF(ISNA(INDEX(СГИ!$Q$3:$AJ$22,VLOOKUP($N21,СГИ!$O$3:$P$22,2),HLOOKUP(AF$6,СГИ!$Q$1:$AJ$2,2))),"",INDEX(СГИ!$Q$3:$AJ$22,VLOOKUP($N21,СГИ!$O$3:$P$22,2),HLOOKUP(AF$6,СГИ!$Q$1:$AJ$2,2)))=1,CONCATENATE("при измерении ",$N21," ",AF$6," не допускается ! "),"")</f>
      </c>
      <c r="AG21">
        <f t="shared" si="2"/>
      </c>
    </row>
    <row r="22" spans="1:33" ht="10.5" customHeight="1" thickBot="1">
      <c r="A22" s="1030"/>
      <c r="B22" s="505" t="s">
        <v>479</v>
      </c>
      <c r="C22" s="504"/>
      <c r="D22" s="1017"/>
      <c r="E22" s="545"/>
      <c r="F22" s="1120"/>
      <c r="G22" s="1121"/>
      <c r="H22" s="524">
        <f t="shared" si="0"/>
      </c>
      <c r="I22" s="491">
        <f t="shared" si="1"/>
        <v>0</v>
      </c>
      <c r="L22" s="494">
        <f>IF(C22&gt;0,ПГ!S22,"")</f>
      </c>
      <c r="N22" s="218">
        <f t="shared" si="4"/>
      </c>
      <c r="O22" s="219">
        <f>IF(IF(ISNA(INDEX(СГИ!$Q$3:$AJ$22,VLOOKUP($N22,СГИ!$O$3:$P$22,2),HLOOKUP(O$6,СГИ!$Q$1:$AJ$2,2))),"",INDEX(СГИ!$Q$3:$AJ$22,VLOOKUP($N22,СГИ!$O$3:$P$22,2),HLOOKUP(O$6,СГИ!$Q$1:$AJ$2,2)))=1,CONCATENATE("при измерении ",$N22," ",O$6," не допускается ! "),"")</f>
      </c>
      <c r="P22" s="219">
        <f>IF(IF(ISNA(INDEX(СГИ!$Q$3:$AJ$22,VLOOKUP($N22,СГИ!$O$3:$P$22,2),HLOOKUP(P$6,СГИ!$Q$1:$AJ$2,2))),"",INDEX(СГИ!$Q$3:$AJ$22,VLOOKUP($N22,СГИ!$O$3:$P$22,2),HLOOKUP(P$6,СГИ!$Q$1:$AJ$2,2)))=1,CONCATENATE("при измерении ",$N22," ",P$6," не допускается ! "),"")</f>
      </c>
      <c r="Q22" s="219">
        <f>IF(IF(ISNA(INDEX(СГИ!$Q$3:$AJ$22,VLOOKUP($N22,СГИ!$O$3:$P$22,2),HLOOKUP(Q$6,СГИ!$Q$1:$AJ$2,2))),"",INDEX(СГИ!$Q$3:$AJ$22,VLOOKUP($N22,СГИ!$O$3:$P$22,2),HLOOKUP(Q$6,СГИ!$Q$1:$AJ$2,2)))=1,CONCATENATE("при измерении ",$N22," ",Q$6," не допускается ! "),"")</f>
      </c>
      <c r="R22" s="219">
        <f>IF(IF(ISNA(INDEX(СГИ!$Q$3:$AJ$22,VLOOKUP($N22,СГИ!$O$3:$P$22,2),HLOOKUP(R$6,СГИ!$Q$1:$AJ$2,2))),"",INDEX(СГИ!$Q$3:$AJ$22,VLOOKUP($N22,СГИ!$O$3:$P$22,2),HLOOKUP(R$6,СГИ!$Q$1:$AJ$2,2)))=1,CONCATENATE("при измерении ",$N22," ",R$6," не допускается ! "),"")</f>
      </c>
      <c r="S22" s="219">
        <f>IF(IF(ISNA(INDEX(СГИ!$Q$3:$AJ$22,VLOOKUP($N22,СГИ!$O$3:$P$22,2),HLOOKUP(S$6,СГИ!$Q$1:$AJ$2,2))),"",INDEX(СГИ!$Q$3:$AJ$22,VLOOKUP($N22,СГИ!$O$3:$P$22,2),HLOOKUP(S$6,СГИ!$Q$1:$AJ$2,2)))=1,CONCATENATE("при измерении ",$N22," ",S$6," не допускается ! "),"")</f>
      </c>
      <c r="T22" s="219">
        <f>IF(IF(ISNA(INDEX(СГИ!$Q$3:$AJ$22,VLOOKUP($N22,СГИ!$O$3:$P$22,2),HLOOKUP(T$6,СГИ!$Q$1:$AJ$2,2))),"",INDEX(СГИ!$Q$3:$AJ$22,VLOOKUP($N22,СГИ!$O$3:$P$22,2),HLOOKUP(T$6,СГИ!$Q$1:$AJ$2,2)))=1,CONCATENATE("при измерении ",$N22," ",T$6," не допускается ! "),"")</f>
      </c>
      <c r="U22" s="219">
        <f>IF(IF(ISNA(INDEX(СГИ!$Q$3:$AJ$22,VLOOKUP($N22,СГИ!$O$3:$P$22,2),HLOOKUP(U$6,СГИ!$Q$1:$AJ$2,2))),"",INDEX(СГИ!$Q$3:$AJ$22,VLOOKUP($N22,СГИ!$O$3:$P$22,2),HLOOKUP(U$6,СГИ!$Q$1:$AJ$2,2)))=1,CONCATENATE("при измерении ",$N22," ",U$6," не допускается ! "),"")</f>
      </c>
      <c r="V22" s="219">
        <f>IF(IF(ISNA(INDEX(СГИ!$Q$3:$AJ$22,VLOOKUP($N22,СГИ!$O$3:$P$22,2),HLOOKUP(V$6,СГИ!$Q$1:$AJ$2,2))),"",INDEX(СГИ!$Q$3:$AJ$22,VLOOKUP($N22,СГИ!$O$3:$P$22,2),HLOOKUP(V$6,СГИ!$Q$1:$AJ$2,2)))=1,CONCATENATE("при измерении ",$N22," ",V$6," не допускается ! "),"")</f>
      </c>
      <c r="W22" s="219">
        <f>IF(IF(ISNA(INDEX(СГИ!$Q$3:$AJ$22,VLOOKUP($N22,СГИ!$O$3:$P$22,2),HLOOKUP(W$6,СГИ!$Q$1:$AJ$2,2))),"",INDEX(СГИ!$Q$3:$AJ$22,VLOOKUP($N22,СГИ!$O$3:$P$22,2),HLOOKUP(W$6,СГИ!$Q$1:$AJ$2,2)))=1,CONCATENATE("при измерении ",$N22," ",W$6," не допускается ! "),"")</f>
      </c>
      <c r="X22" s="219">
        <f>IF(IF(ISNA(INDEX(СГИ!$Q$3:$AJ$22,VLOOKUP($N22,СГИ!$O$3:$P$22,2),HLOOKUP(X$6,СГИ!$Q$1:$AJ$2,2))),"",INDEX(СГИ!$Q$3:$AJ$22,VLOOKUP($N22,СГИ!$O$3:$P$22,2),HLOOKUP(X$6,СГИ!$Q$1:$AJ$2,2)))=1,CONCATENATE("при измерении ",$N22," ",X$6," не допускается ! "),"")</f>
      </c>
      <c r="Y22" s="219">
        <f>IF(IF(ISNA(INDEX(СГИ!$Q$3:$AJ$22,VLOOKUP($N22,СГИ!$O$3:$P$22,2),HLOOKUP(Y$6,СГИ!$Q$1:$AJ$2,2))),"",INDEX(СГИ!$Q$3:$AJ$22,VLOOKUP($N22,СГИ!$O$3:$P$22,2),HLOOKUP(Y$6,СГИ!$Q$1:$AJ$2,2)))=1,CONCATENATE("при измерении ",$N22," ",Y$6," не допускается ! "),"")</f>
      </c>
      <c r="Z22" s="219">
        <f>IF(IF(ISNA(INDEX(СГИ!$Q$3:$AJ$22,VLOOKUP($N22,СГИ!$O$3:$P$22,2),HLOOKUP(Z$6,СГИ!$Q$1:$AJ$2,2))),"",INDEX(СГИ!$Q$3:$AJ$22,VLOOKUP($N22,СГИ!$O$3:$P$22,2),HLOOKUP(Z$6,СГИ!$Q$1:$AJ$2,2)))=1,CONCATENATE("при измерении ",$N22," ",Z$6," не допускается ! "),"")</f>
      </c>
      <c r="AA22" s="219">
        <f>IF(IF(ISNA(INDEX(СГИ!$Q$3:$AJ$22,VLOOKUP($N22,СГИ!$O$3:$P$22,2),HLOOKUP(AA$6,СГИ!$Q$1:$AJ$2,2))),"",INDEX(СГИ!$Q$3:$AJ$22,VLOOKUP($N22,СГИ!$O$3:$P$22,2),HLOOKUP(AA$6,СГИ!$Q$1:$AJ$2,2)))=1,CONCATENATE("при измерении ",$N22," ",AA$6," не допускается ! "),"")</f>
      </c>
      <c r="AB22" s="219">
        <f>IF(IF(ISNA(INDEX(СГИ!$Q$3:$AJ$22,VLOOKUP($N22,СГИ!$O$3:$P$22,2),HLOOKUP(AB$6,СГИ!$Q$1:$AJ$2,2))),"",INDEX(СГИ!$Q$3:$AJ$22,VLOOKUP($N22,СГИ!$O$3:$P$22,2),HLOOKUP(AB$6,СГИ!$Q$1:$AJ$2,2)))=1,CONCATENATE("при измерении ",$N22," ",AB$6," не допускается ! "),"")</f>
      </c>
      <c r="AC22" s="219">
        <f>IF(IF(ISNA(INDEX(СГИ!$Q$3:$AJ$22,VLOOKUP($N22,СГИ!$O$3:$P$22,2),HLOOKUP(AC$6,СГИ!$Q$1:$AJ$2,2))),"",INDEX(СГИ!$Q$3:$AJ$22,VLOOKUP($N22,СГИ!$O$3:$P$22,2),HLOOKUP(AC$6,СГИ!$Q$1:$AJ$2,2)))=1,CONCATENATE("при измерении ",$N22," ",AC$6," не допускается ! "),"")</f>
      </c>
      <c r="AD22" s="219">
        <f>IF(IF(ISNA(INDEX(СГИ!$Q$3:$AJ$22,VLOOKUP($N22,СГИ!$O$3:$P$22,2),HLOOKUP(AD$6,СГИ!$Q$1:$AJ$2,2))),"",INDEX(СГИ!$Q$3:$AJ$22,VLOOKUP($N22,СГИ!$O$3:$P$22,2),HLOOKUP(AD$6,СГИ!$Q$1:$AJ$2,2)))=1,CONCATENATE("при измерении ",$N22," ",AD$6," не допускается ! "),"")</f>
      </c>
      <c r="AE22" s="219">
        <f>IF(IF(ISNA(INDEX(СГИ!$Q$3:$AJ$22,VLOOKUP($N22,СГИ!$O$3:$P$22,2),HLOOKUP(AE$6,СГИ!$Q$1:$AJ$2,2))),"",INDEX(СГИ!$Q$3:$AJ$22,VLOOKUP($N22,СГИ!$O$3:$P$22,2),HLOOKUP(AE$6,СГИ!$Q$1:$AJ$2,2)))=1,CONCATENATE("при измерении ",$N22," ",AE$6," не допускается ! "),"")</f>
      </c>
      <c r="AF22" s="254">
        <f>IF(IF(ISNA(INDEX(СГИ!$Q$3:$AJ$22,VLOOKUP($N22,СГИ!$O$3:$P$22,2),HLOOKUP(AF$6,СГИ!$Q$1:$AJ$2,2))),"",INDEX(СГИ!$Q$3:$AJ$22,VLOOKUP($N22,СГИ!$O$3:$P$22,2),HLOOKUP(AF$6,СГИ!$Q$1:$AJ$2,2)))=1,CONCATENATE("при измерении ",$N22," ",AF$6," не допускается ! "),"")</f>
      </c>
      <c r="AG22">
        <f t="shared" si="2"/>
      </c>
    </row>
    <row r="23" spans="1:33" ht="10.5" customHeight="1" thickBot="1">
      <c r="A23" s="1031"/>
      <c r="B23" s="1032" t="s">
        <v>783</v>
      </c>
      <c r="C23" s="1033"/>
      <c r="D23" s="1034" t="str">
        <f>IF(SUM(C$7:C$21)&gt;4,"&lt;- сумма не должна быть более 4",IF(OR(C23=2,C23=3,C23=4,AND(C$11&gt;0,C23&gt;0)),"&lt;- уменьшите количество каналов",IF(OR(SUM(C$7:C$21)=4,AND(C$11=1,I$31=1)),"&lt;- дальнейший ввод невозможен",IF(C23=1,"","&lt;- введите данные, если необходимо"))))</f>
        <v>&lt;- введите данные, если необходимо</v>
      </c>
      <c r="E23" s="1006"/>
      <c r="F23" s="1122"/>
      <c r="G23" s="1123"/>
      <c r="H23" s="524">
        <f t="shared" si="0"/>
      </c>
      <c r="I23" s="491">
        <f t="shared" si="1"/>
        <v>0</v>
      </c>
      <c r="N23" s="218">
        <f t="shared" si="4"/>
      </c>
      <c r="O23" s="219">
        <f>IF(IF(ISNA(INDEX(СГИ!$Q$3:$AJ$22,VLOOKUP($N23,СГИ!$O$3:$P$22,2),HLOOKUP(O$6,СГИ!$Q$1:$AJ$2,2))),"",INDEX(СГИ!$Q$3:$AJ$22,VLOOKUP($N23,СГИ!$O$3:$P$22,2),HLOOKUP(O$6,СГИ!$Q$1:$AJ$2,2)))=1,CONCATENATE("при измерении ",$N23," ",O$6," не допускается ! "),"")</f>
      </c>
      <c r="P23" s="219">
        <f>IF(IF(ISNA(INDEX(СГИ!$Q$3:$AJ$22,VLOOKUP($N23,СГИ!$O$3:$P$22,2),HLOOKUP(P$6,СГИ!$Q$1:$AJ$2,2))),"",INDEX(СГИ!$Q$3:$AJ$22,VLOOKUP($N23,СГИ!$O$3:$P$22,2),HLOOKUP(P$6,СГИ!$Q$1:$AJ$2,2)))=1,CONCATENATE("при измерении ",$N23," ",P$6," не допускается ! "),"")</f>
      </c>
      <c r="Q23" s="219">
        <f>IF(IF(ISNA(INDEX(СГИ!$Q$3:$AJ$22,VLOOKUP($N23,СГИ!$O$3:$P$22,2),HLOOKUP(Q$6,СГИ!$Q$1:$AJ$2,2))),"",INDEX(СГИ!$Q$3:$AJ$22,VLOOKUP($N23,СГИ!$O$3:$P$22,2),HLOOKUP(Q$6,СГИ!$Q$1:$AJ$2,2)))=1,CONCATENATE("при измерении ",$N23," ",Q$6," не допускается ! "),"")</f>
      </c>
      <c r="R23" s="219">
        <f>IF(IF(ISNA(INDEX(СГИ!$Q$3:$AJ$22,VLOOKUP($N23,СГИ!$O$3:$P$22,2),HLOOKUP(R$6,СГИ!$Q$1:$AJ$2,2))),"",INDEX(СГИ!$Q$3:$AJ$22,VLOOKUP($N23,СГИ!$O$3:$P$22,2),HLOOKUP(R$6,СГИ!$Q$1:$AJ$2,2)))=1,CONCATENATE("при измерении ",$N23," ",R$6," не допускается ! "),"")</f>
      </c>
      <c r="S23" s="219">
        <f>IF(IF(ISNA(INDEX(СГИ!$Q$3:$AJ$22,VLOOKUP($N23,СГИ!$O$3:$P$22,2),HLOOKUP(S$6,СГИ!$Q$1:$AJ$2,2))),"",INDEX(СГИ!$Q$3:$AJ$22,VLOOKUP($N23,СГИ!$O$3:$P$22,2),HLOOKUP(S$6,СГИ!$Q$1:$AJ$2,2)))=1,CONCATENATE("при измерении ",$N23," ",S$6," не допускается ! "),"")</f>
      </c>
      <c r="T23" s="219">
        <f>IF(IF(ISNA(INDEX(СГИ!$Q$3:$AJ$22,VLOOKUP($N23,СГИ!$O$3:$P$22,2),HLOOKUP(T$6,СГИ!$Q$1:$AJ$2,2))),"",INDEX(СГИ!$Q$3:$AJ$22,VLOOKUP($N23,СГИ!$O$3:$P$22,2),HLOOKUP(T$6,СГИ!$Q$1:$AJ$2,2)))=1,CONCATENATE("при измерении ",$N23," ",T$6," не допускается ! "),"")</f>
      </c>
      <c r="U23" s="219">
        <f>IF(IF(ISNA(INDEX(СГИ!$Q$3:$AJ$22,VLOOKUP($N23,СГИ!$O$3:$P$22,2),HLOOKUP(U$6,СГИ!$Q$1:$AJ$2,2))),"",INDEX(СГИ!$Q$3:$AJ$22,VLOOKUP($N23,СГИ!$O$3:$P$22,2),HLOOKUP(U$6,СГИ!$Q$1:$AJ$2,2)))=1,CONCATENATE("при измерении ",$N23," ",U$6," не допускается ! "),"")</f>
      </c>
      <c r="V23" s="219">
        <f>IF(IF(ISNA(INDEX(СГИ!$Q$3:$AJ$22,VLOOKUP($N23,СГИ!$O$3:$P$22,2),HLOOKUP(V$6,СГИ!$Q$1:$AJ$2,2))),"",INDEX(СГИ!$Q$3:$AJ$22,VLOOKUP($N23,СГИ!$O$3:$P$22,2),HLOOKUP(V$6,СГИ!$Q$1:$AJ$2,2)))=1,CONCATENATE("при измерении ",$N23," ",V$6," не допускается ! "),"")</f>
      </c>
      <c r="W23" s="219">
        <f>IF(IF(ISNA(INDEX(СГИ!$Q$3:$AJ$22,VLOOKUP($N23,СГИ!$O$3:$P$22,2),HLOOKUP(W$6,СГИ!$Q$1:$AJ$2,2))),"",INDEX(СГИ!$Q$3:$AJ$22,VLOOKUP($N23,СГИ!$O$3:$P$22,2),HLOOKUP(W$6,СГИ!$Q$1:$AJ$2,2)))=1,CONCATENATE("при измерении ",$N23," ",W$6," не допускается ! "),"")</f>
      </c>
      <c r="X23" s="219">
        <f>IF(IF(ISNA(INDEX(СГИ!$Q$3:$AJ$22,VLOOKUP($N23,СГИ!$O$3:$P$22,2),HLOOKUP(X$6,СГИ!$Q$1:$AJ$2,2))),"",INDEX(СГИ!$Q$3:$AJ$22,VLOOKUP($N23,СГИ!$O$3:$P$22,2),HLOOKUP(X$6,СГИ!$Q$1:$AJ$2,2)))=1,CONCATENATE("при измерении ",$N23," ",X$6," не допускается ! "),"")</f>
      </c>
      <c r="Y23" s="219">
        <f>IF(IF(ISNA(INDEX(СГИ!$Q$3:$AJ$22,VLOOKUP($N23,СГИ!$O$3:$P$22,2),HLOOKUP(Y$6,СГИ!$Q$1:$AJ$2,2))),"",INDEX(СГИ!$Q$3:$AJ$22,VLOOKUP($N23,СГИ!$O$3:$P$22,2),HLOOKUP(Y$6,СГИ!$Q$1:$AJ$2,2)))=1,CONCATENATE("при измерении ",$N23," ",Y$6," не допускается ! "),"")</f>
      </c>
      <c r="Z23" s="219">
        <f>IF(IF(ISNA(INDEX(СГИ!$Q$3:$AJ$22,VLOOKUP($N23,СГИ!$O$3:$P$22,2),HLOOKUP(Z$6,СГИ!$Q$1:$AJ$2,2))),"",INDEX(СГИ!$Q$3:$AJ$22,VLOOKUP($N23,СГИ!$O$3:$P$22,2),HLOOKUP(Z$6,СГИ!$Q$1:$AJ$2,2)))=1,CONCATENATE("при измерении ",$N23," ",Z$6," не допускается ! "),"")</f>
      </c>
      <c r="AA23" s="219">
        <f>IF(IF(ISNA(INDEX(СГИ!$Q$3:$AJ$22,VLOOKUP($N23,СГИ!$O$3:$P$22,2),HLOOKUP(AA$6,СГИ!$Q$1:$AJ$2,2))),"",INDEX(СГИ!$Q$3:$AJ$22,VLOOKUP($N23,СГИ!$O$3:$P$22,2),HLOOKUP(AA$6,СГИ!$Q$1:$AJ$2,2)))=1,CONCATENATE("при измерении ",$N23," ",AA$6," не допускается ! "),"")</f>
      </c>
      <c r="AB23" s="219">
        <f>IF(IF(ISNA(INDEX(СГИ!$Q$3:$AJ$22,VLOOKUP($N23,СГИ!$O$3:$P$22,2),HLOOKUP(AB$6,СГИ!$Q$1:$AJ$2,2))),"",INDEX(СГИ!$Q$3:$AJ$22,VLOOKUP($N23,СГИ!$O$3:$P$22,2),HLOOKUP(AB$6,СГИ!$Q$1:$AJ$2,2)))=1,CONCATENATE("при измерении ",$N23," ",AB$6," не допускается ! "),"")</f>
      </c>
      <c r="AC23" s="219">
        <f>IF(IF(ISNA(INDEX(СГИ!$Q$3:$AJ$22,VLOOKUP($N23,СГИ!$O$3:$P$22,2),HLOOKUP(AC$6,СГИ!$Q$1:$AJ$2,2))),"",INDEX(СГИ!$Q$3:$AJ$22,VLOOKUP($N23,СГИ!$O$3:$P$22,2),HLOOKUP(AC$6,СГИ!$Q$1:$AJ$2,2)))=1,CONCATENATE("при измерении ",$N23," ",AC$6," не допускается ! "),"")</f>
      </c>
      <c r="AD23" s="219">
        <f>IF(IF(ISNA(INDEX(СГИ!$Q$3:$AJ$22,VLOOKUP($N23,СГИ!$O$3:$P$22,2),HLOOKUP(AD$6,СГИ!$Q$1:$AJ$2,2))),"",INDEX(СГИ!$Q$3:$AJ$22,VLOOKUP($N23,СГИ!$O$3:$P$22,2),HLOOKUP(AD$6,СГИ!$Q$1:$AJ$2,2)))=1,CONCATENATE("при измерении ",$N23," ",AD$6," не допускается ! "),"")</f>
      </c>
      <c r="AE23" s="219">
        <f>IF(IF(ISNA(INDEX(СГИ!$Q$3:$AJ$22,VLOOKUP($N23,СГИ!$O$3:$P$22,2),HLOOKUP(AE$6,СГИ!$Q$1:$AJ$2,2))),"",INDEX(СГИ!$Q$3:$AJ$22,VLOOKUP($N23,СГИ!$O$3:$P$22,2),HLOOKUP(AE$6,СГИ!$Q$1:$AJ$2,2)))=1,CONCATENATE("при измерении ",$N23," ",AE$6," не допускается ! "),"")</f>
      </c>
      <c r="AF23" s="254">
        <f>IF(IF(ISNA(INDEX(СГИ!$Q$3:$AJ$22,VLOOKUP($N23,СГИ!$O$3:$P$22,2),HLOOKUP(AF$6,СГИ!$Q$1:$AJ$2,2))),"",INDEX(СГИ!$Q$3:$AJ$22,VLOOKUP($N23,СГИ!$O$3:$P$22,2),HLOOKUP(AF$6,СГИ!$Q$1:$AJ$2,2)))=1,CONCATENATE("при измерении ",$N23," ",AF$6," не допускается ! "),"")</f>
      </c>
      <c r="AG23">
        <f t="shared" si="2"/>
      </c>
    </row>
    <row r="24" spans="1:33" ht="31.5" customHeight="1" hidden="1">
      <c r="A24" s="1" t="s">
        <v>305</v>
      </c>
      <c r="B24" s="1046"/>
      <c r="E24" s="1" t="s">
        <v>305</v>
      </c>
      <c r="H24" s="507"/>
      <c r="I24" s="511"/>
      <c r="N24" s="218">
        <f t="shared" si="4"/>
      </c>
      <c r="O24" s="219">
        <f>IF(IF(ISNA(INDEX(СГИ!$Q$3:$AJ$22,VLOOKUP($N24,СГИ!$O$3:$P$22,2),HLOOKUP(O$6,СГИ!$Q$1:$AJ$2,2))),"",INDEX(СГИ!$Q$3:$AJ$22,VLOOKUP($N24,СГИ!$O$3:$P$22,2),HLOOKUP(O$6,СГИ!$Q$1:$AJ$2,2)))=1,CONCATENATE("при измерении ",$N24," ",O$6," не допускается ! "),"")</f>
      </c>
      <c r="P24" s="219">
        <f>IF(IF(ISNA(INDEX(СГИ!$Q$3:$AJ$22,VLOOKUP($N24,СГИ!$O$3:$P$22,2),HLOOKUP(P$6,СГИ!$Q$1:$AJ$2,2))),"",INDEX(СГИ!$Q$3:$AJ$22,VLOOKUP($N24,СГИ!$O$3:$P$22,2),HLOOKUP(P$6,СГИ!$Q$1:$AJ$2,2)))=1,CONCATENATE("при измерении ",$N24," ",P$6," не допускается ! "),"")</f>
      </c>
      <c r="Q24" s="219">
        <f>IF(IF(ISNA(INDEX(СГИ!$Q$3:$AJ$22,VLOOKUP($N24,СГИ!$O$3:$P$22,2),HLOOKUP(Q$6,СГИ!$Q$1:$AJ$2,2))),"",INDEX(СГИ!$Q$3:$AJ$22,VLOOKUP($N24,СГИ!$O$3:$P$22,2),HLOOKUP(Q$6,СГИ!$Q$1:$AJ$2,2)))=1,CONCATENATE("при измерении ",$N24," ",Q$6," не допускается ! "),"")</f>
      </c>
      <c r="R24" s="219">
        <f>IF(IF(ISNA(INDEX(СГИ!$Q$3:$AJ$22,VLOOKUP($N24,СГИ!$O$3:$P$22,2),HLOOKUP(R$6,СГИ!$Q$1:$AJ$2,2))),"",INDEX(СГИ!$Q$3:$AJ$22,VLOOKUP($N24,СГИ!$O$3:$P$22,2),HLOOKUP(R$6,СГИ!$Q$1:$AJ$2,2)))=1,CONCATENATE("при измерении ",$N24," ",R$6," не допускается ! "),"")</f>
      </c>
      <c r="S24" s="219">
        <f>IF(IF(ISNA(INDEX(СГИ!$Q$3:$AJ$22,VLOOKUP($N24,СГИ!$O$3:$P$22,2),HLOOKUP(S$6,СГИ!$Q$1:$AJ$2,2))),"",INDEX(СГИ!$Q$3:$AJ$22,VLOOKUP($N24,СГИ!$O$3:$P$22,2),HLOOKUP(S$6,СГИ!$Q$1:$AJ$2,2)))=1,CONCATENATE("при измерении ",$N24," ",S$6," не допускается ! "),"")</f>
      </c>
      <c r="T24" s="219">
        <f>IF(IF(ISNA(INDEX(СГИ!$Q$3:$AJ$22,VLOOKUP($N24,СГИ!$O$3:$P$22,2),HLOOKUP(T$6,СГИ!$Q$1:$AJ$2,2))),"",INDEX(СГИ!$Q$3:$AJ$22,VLOOKUP($N24,СГИ!$O$3:$P$22,2),HLOOKUP(T$6,СГИ!$Q$1:$AJ$2,2)))=1,CONCATENATE("при измерении ",$N24," ",T$6," не допускается ! "),"")</f>
      </c>
      <c r="U24" s="219">
        <f>IF(IF(ISNA(INDEX(СГИ!$Q$3:$AJ$22,VLOOKUP($N24,СГИ!$O$3:$P$22,2),HLOOKUP(U$6,СГИ!$Q$1:$AJ$2,2))),"",INDEX(СГИ!$Q$3:$AJ$22,VLOOKUP($N24,СГИ!$O$3:$P$22,2),HLOOKUP(U$6,СГИ!$Q$1:$AJ$2,2)))=1,CONCATENATE("при измерении ",$N24," ",U$6," не допускается ! "),"")</f>
      </c>
      <c r="V24" s="219">
        <f>IF(IF(ISNA(INDEX(СГИ!$Q$3:$AJ$22,VLOOKUP($N24,СГИ!$O$3:$P$22,2),HLOOKUP(V$6,СГИ!$Q$1:$AJ$2,2))),"",INDEX(СГИ!$Q$3:$AJ$22,VLOOKUP($N24,СГИ!$O$3:$P$22,2),HLOOKUP(V$6,СГИ!$Q$1:$AJ$2,2)))=1,CONCATENATE("при измерении ",$N24," ",V$6," не допускается ! "),"")</f>
      </c>
      <c r="W24" s="219">
        <f>IF(IF(ISNA(INDEX(СГИ!$Q$3:$AJ$22,VLOOKUP($N24,СГИ!$O$3:$P$22,2),HLOOKUP(W$6,СГИ!$Q$1:$AJ$2,2))),"",INDEX(СГИ!$Q$3:$AJ$22,VLOOKUP($N24,СГИ!$O$3:$P$22,2),HLOOKUP(W$6,СГИ!$Q$1:$AJ$2,2)))=1,CONCATENATE("при измерении ",$N24," ",W$6," не допускается ! "),"")</f>
      </c>
      <c r="X24" s="219">
        <f>IF(IF(ISNA(INDEX(СГИ!$Q$3:$AJ$22,VLOOKUP($N24,СГИ!$O$3:$P$22,2),HLOOKUP(X$6,СГИ!$Q$1:$AJ$2,2))),"",INDEX(СГИ!$Q$3:$AJ$22,VLOOKUP($N24,СГИ!$O$3:$P$22,2),HLOOKUP(X$6,СГИ!$Q$1:$AJ$2,2)))=1,CONCATENATE("при измерении ",$N24," ",X$6," не допускается ! "),"")</f>
      </c>
      <c r="Y24" s="219">
        <f>IF(IF(ISNA(INDEX(СГИ!$Q$3:$AJ$22,VLOOKUP($N24,СГИ!$O$3:$P$22,2),HLOOKUP(Y$6,СГИ!$Q$1:$AJ$2,2))),"",INDEX(СГИ!$Q$3:$AJ$22,VLOOKUP($N24,СГИ!$O$3:$P$22,2),HLOOKUP(Y$6,СГИ!$Q$1:$AJ$2,2)))=1,CONCATENATE("при измерении ",$N24," ",Y$6," не допускается ! "),"")</f>
      </c>
      <c r="Z24" s="219">
        <f>IF(IF(ISNA(INDEX(СГИ!$Q$3:$AJ$22,VLOOKUP($N24,СГИ!$O$3:$P$22,2),HLOOKUP(Z$6,СГИ!$Q$1:$AJ$2,2))),"",INDEX(СГИ!$Q$3:$AJ$22,VLOOKUP($N24,СГИ!$O$3:$P$22,2),HLOOKUP(Z$6,СГИ!$Q$1:$AJ$2,2)))=1,CONCATENATE("при измерении ",$N24," ",Z$6," не допускается ! "),"")</f>
      </c>
      <c r="AA24" s="219">
        <f>IF(IF(ISNA(INDEX(СГИ!$Q$3:$AJ$22,VLOOKUP($N24,СГИ!$O$3:$P$22,2),HLOOKUP(AA$6,СГИ!$Q$1:$AJ$2,2))),"",INDEX(СГИ!$Q$3:$AJ$22,VLOOKUP($N24,СГИ!$O$3:$P$22,2),HLOOKUP(AA$6,СГИ!$Q$1:$AJ$2,2)))=1,CONCATENATE("при измерении ",$N24," ",AA$6," не допускается ! "),"")</f>
      </c>
      <c r="AB24" s="219">
        <f>IF(IF(ISNA(INDEX(СГИ!$Q$3:$AJ$22,VLOOKUP($N24,СГИ!$O$3:$P$22,2),HLOOKUP(AB$6,СГИ!$Q$1:$AJ$2,2))),"",INDEX(СГИ!$Q$3:$AJ$22,VLOOKUP($N24,СГИ!$O$3:$P$22,2),HLOOKUP(AB$6,СГИ!$Q$1:$AJ$2,2)))=1,CONCATENATE("при измерении ",$N24," ",AB$6," не допускается ! "),"")</f>
      </c>
      <c r="AC24" s="219">
        <f>IF(IF(ISNA(INDEX(СГИ!$Q$3:$AJ$22,VLOOKUP($N24,СГИ!$O$3:$P$22,2),HLOOKUP(AC$6,СГИ!$Q$1:$AJ$2,2))),"",INDEX(СГИ!$Q$3:$AJ$22,VLOOKUP($N24,СГИ!$O$3:$P$22,2),HLOOKUP(AC$6,СГИ!$Q$1:$AJ$2,2)))=1,CONCATENATE("при измерении ",$N24," ",AC$6," не допускается ! "),"")</f>
      </c>
      <c r="AD24" s="219">
        <f>IF(IF(ISNA(INDEX(СГИ!$Q$3:$AJ$22,VLOOKUP($N24,СГИ!$O$3:$P$22,2),HLOOKUP(AD$6,СГИ!$Q$1:$AJ$2,2))),"",INDEX(СГИ!$Q$3:$AJ$22,VLOOKUP($N24,СГИ!$O$3:$P$22,2),HLOOKUP(AD$6,СГИ!$Q$1:$AJ$2,2)))=1,CONCATENATE("при измерении ",$N24," ",AD$6," не допускается ! "),"")</f>
      </c>
      <c r="AE24" s="219">
        <f>IF(IF(ISNA(INDEX(СГИ!$Q$3:$AJ$22,VLOOKUP($N24,СГИ!$O$3:$P$22,2),HLOOKUP(AE$6,СГИ!$Q$1:$AJ$2,2))),"",INDEX(СГИ!$Q$3:$AJ$22,VLOOKUP($N24,СГИ!$O$3:$P$22,2),HLOOKUP(AE$6,СГИ!$Q$1:$AJ$2,2)))=1,CONCATENATE("при измерении ",$N24," ",AE$6," не допускается ! "),"")</f>
      </c>
      <c r="AF24" s="254">
        <f>IF(IF(ISNA(INDEX(СГИ!$Q$3:$AJ$22,VLOOKUP($N24,СГИ!$O$3:$P$22,2),HLOOKUP(AF$6,СГИ!$Q$1:$AJ$2,2))),"",INDEX(СГИ!$Q$3:$AJ$22,VLOOKUP($N24,СГИ!$O$3:$P$22,2),HLOOKUP(AF$6,СГИ!$Q$1:$AJ$2,2)))=1,CONCATENATE("при измерении ",$N24," ",AF$6," не допускается ! "),"")</f>
      </c>
      <c r="AG24">
        <f t="shared" si="2"/>
      </c>
    </row>
    <row r="25" spans="1:33" ht="31.5" customHeight="1" hidden="1" thickBot="1">
      <c r="A25" s="1" t="s">
        <v>305</v>
      </c>
      <c r="B25" s="1127" t="s">
        <v>913</v>
      </c>
      <c r="C25" s="1127"/>
      <c r="D25" s="1127"/>
      <c r="E25" s="1127"/>
      <c r="F25" s="1127"/>
      <c r="G25" s="1046"/>
      <c r="H25" s="507"/>
      <c r="I25" s="511"/>
      <c r="N25" s="268">
        <f t="shared" si="4"/>
      </c>
      <c r="O25" s="269">
        <f>IF(IF(ISNA(INDEX(СГИ!$Q$3:$AJ$22,VLOOKUP($N25,СГИ!$O$3:$P$22,2),HLOOKUP(O$6,СГИ!$Q$1:$AJ$2,2))),"",INDEX(СГИ!$Q$3:$AJ$22,VLOOKUP($N25,СГИ!$O$3:$P$22,2),HLOOKUP(O$6,СГИ!$Q$1:$AJ$2,2)))=1,CONCATENATE("при измерении ",$N25," ",O$6," не допускается ! "),"")</f>
      </c>
      <c r="P25" s="269">
        <f>IF(IF(ISNA(INDEX(СГИ!$Q$3:$AJ$22,VLOOKUP($N25,СГИ!$O$3:$P$22,2),HLOOKUP(P$6,СГИ!$Q$1:$AJ$2,2))),"",INDEX(СГИ!$Q$3:$AJ$22,VLOOKUP($N25,СГИ!$O$3:$P$22,2),HLOOKUP(P$6,СГИ!$Q$1:$AJ$2,2)))=1,CONCATENATE("при измерении ",$N25," ",P$6," не допускается ! "),"")</f>
      </c>
      <c r="Q25" s="269">
        <f>IF(IF(ISNA(INDEX(СГИ!$Q$3:$AJ$22,VLOOKUP($N25,СГИ!$O$3:$P$22,2),HLOOKUP(Q$6,СГИ!$Q$1:$AJ$2,2))),"",INDEX(СГИ!$Q$3:$AJ$22,VLOOKUP($N25,СГИ!$O$3:$P$22,2),HLOOKUP(Q$6,СГИ!$Q$1:$AJ$2,2)))=1,CONCATENATE("при измерении ",$N25," ",Q$6," не допускается ! "),"")</f>
      </c>
      <c r="R25" s="269">
        <f>IF(IF(ISNA(INDEX(СГИ!$Q$3:$AJ$22,VLOOKUP($N25,СГИ!$O$3:$P$22,2),HLOOKUP(R$6,СГИ!$Q$1:$AJ$2,2))),"",INDEX(СГИ!$Q$3:$AJ$22,VLOOKUP($N25,СГИ!$O$3:$P$22,2),HLOOKUP(R$6,СГИ!$Q$1:$AJ$2,2)))=1,CONCATENATE("при измерении ",$N25," ",R$6," не допускается ! "),"")</f>
      </c>
      <c r="S25" s="269">
        <f>IF(IF(ISNA(INDEX(СГИ!$Q$3:$AJ$22,VLOOKUP($N25,СГИ!$O$3:$P$22,2),HLOOKUP(S$6,СГИ!$Q$1:$AJ$2,2))),"",INDEX(СГИ!$Q$3:$AJ$22,VLOOKUP($N25,СГИ!$O$3:$P$22,2),HLOOKUP(S$6,СГИ!$Q$1:$AJ$2,2)))=1,CONCATENATE("при измерении ",$N25," ",S$6," не допускается ! "),"")</f>
      </c>
      <c r="T25" s="269">
        <f>IF(IF(ISNA(INDEX(СГИ!$Q$3:$AJ$22,VLOOKUP($N25,СГИ!$O$3:$P$22,2),HLOOKUP(T$6,СГИ!$Q$1:$AJ$2,2))),"",INDEX(СГИ!$Q$3:$AJ$22,VLOOKUP($N25,СГИ!$O$3:$P$22,2),HLOOKUP(T$6,СГИ!$Q$1:$AJ$2,2)))=1,CONCATENATE("при измерении ",$N25," ",T$6," не допускается ! "),"")</f>
      </c>
      <c r="U25" s="269">
        <f>IF(IF(ISNA(INDEX(СГИ!$Q$3:$AJ$22,VLOOKUP($N25,СГИ!$O$3:$P$22,2),HLOOKUP(U$6,СГИ!$Q$1:$AJ$2,2))),"",INDEX(СГИ!$Q$3:$AJ$22,VLOOKUP($N25,СГИ!$O$3:$P$22,2),HLOOKUP(U$6,СГИ!$Q$1:$AJ$2,2)))=1,CONCATENATE("при измерении ",$N25," ",U$6," не допускается ! "),"")</f>
      </c>
      <c r="V25" s="269">
        <f>IF(IF(ISNA(INDEX(СГИ!$Q$3:$AJ$22,VLOOKUP($N25,СГИ!$O$3:$P$22,2),HLOOKUP(V$6,СГИ!$Q$1:$AJ$2,2))),"",INDEX(СГИ!$Q$3:$AJ$22,VLOOKUP($N25,СГИ!$O$3:$P$22,2),HLOOKUP(V$6,СГИ!$Q$1:$AJ$2,2)))=1,CONCATENATE("при измерении ",$N25," ",V$6," не допускается ! "),"")</f>
      </c>
      <c r="W25" s="269">
        <f>IF(IF(ISNA(INDEX(СГИ!$Q$3:$AJ$22,VLOOKUP($N25,СГИ!$O$3:$P$22,2),HLOOKUP(W$6,СГИ!$Q$1:$AJ$2,2))),"",INDEX(СГИ!$Q$3:$AJ$22,VLOOKUP($N25,СГИ!$O$3:$P$22,2),HLOOKUP(W$6,СГИ!$Q$1:$AJ$2,2)))=1,CONCATENATE("при измерении ",$N25," ",W$6," не допускается ! "),"")</f>
      </c>
      <c r="X25" s="269">
        <f>IF(IF(ISNA(INDEX(СГИ!$Q$3:$AJ$22,VLOOKUP($N25,СГИ!$O$3:$P$22,2),HLOOKUP(X$6,СГИ!$Q$1:$AJ$2,2))),"",INDEX(СГИ!$Q$3:$AJ$22,VLOOKUP($N25,СГИ!$O$3:$P$22,2),HLOOKUP(X$6,СГИ!$Q$1:$AJ$2,2)))=1,CONCATENATE("при измерении ",$N25," ",X$6," не допускается ! "),"")</f>
      </c>
      <c r="Y25" s="269">
        <f>IF(IF(ISNA(INDEX(СГИ!$Q$3:$AJ$22,VLOOKUP($N25,СГИ!$O$3:$P$22,2),HLOOKUP(Y$6,СГИ!$Q$1:$AJ$2,2))),"",INDEX(СГИ!$Q$3:$AJ$22,VLOOKUP($N25,СГИ!$O$3:$P$22,2),HLOOKUP(Y$6,СГИ!$Q$1:$AJ$2,2)))=1,CONCATENATE("при измерении ",$N25," ",Y$6," не допускается ! "),"")</f>
      </c>
      <c r="Z25" s="269">
        <f>IF(IF(ISNA(INDEX(СГИ!$Q$3:$AJ$22,VLOOKUP($N25,СГИ!$O$3:$P$22,2),HLOOKUP(Z$6,СГИ!$Q$1:$AJ$2,2))),"",INDEX(СГИ!$Q$3:$AJ$22,VLOOKUP($N25,СГИ!$O$3:$P$22,2),HLOOKUP(Z$6,СГИ!$Q$1:$AJ$2,2)))=1,CONCATENATE("при измерении ",$N25," ",Z$6," не допускается ! "),"")</f>
      </c>
      <c r="AA25" s="269">
        <f>IF(IF(ISNA(INDEX(СГИ!$Q$3:$AJ$22,VLOOKUP($N25,СГИ!$O$3:$P$22,2),HLOOKUP(AA$6,СГИ!$Q$1:$AJ$2,2))),"",INDEX(СГИ!$Q$3:$AJ$22,VLOOKUP($N25,СГИ!$O$3:$P$22,2),HLOOKUP(AA$6,СГИ!$Q$1:$AJ$2,2)))=1,CONCATENATE("при измерении ",$N25," ",AA$6," не допускается ! "),"")</f>
      </c>
      <c r="AB25" s="269">
        <f>IF(IF(ISNA(INDEX(СГИ!$Q$3:$AJ$22,VLOOKUP($N25,СГИ!$O$3:$P$22,2),HLOOKUP(AB$6,СГИ!$Q$1:$AJ$2,2))),"",INDEX(СГИ!$Q$3:$AJ$22,VLOOKUP($N25,СГИ!$O$3:$P$22,2),HLOOKUP(AB$6,СГИ!$Q$1:$AJ$2,2)))=1,CONCATENATE("при измерении ",$N25," ",AB$6," не допускается ! "),"")</f>
      </c>
      <c r="AC25" s="269">
        <f>IF(IF(ISNA(INDEX(СГИ!$Q$3:$AJ$22,VLOOKUP($N25,СГИ!$O$3:$P$22,2),HLOOKUP(AC$6,СГИ!$Q$1:$AJ$2,2))),"",INDEX(СГИ!$Q$3:$AJ$22,VLOOKUP($N25,СГИ!$O$3:$P$22,2),HLOOKUP(AC$6,СГИ!$Q$1:$AJ$2,2)))=1,CONCATENATE("при измерении ",$N25," ",AC$6," не допускается ! "),"")</f>
      </c>
      <c r="AD25" s="269">
        <f>IF(IF(ISNA(INDEX(СГИ!$Q$3:$AJ$22,VLOOKUP($N25,СГИ!$O$3:$P$22,2),HLOOKUP(AD$6,СГИ!$Q$1:$AJ$2,2))),"",INDEX(СГИ!$Q$3:$AJ$22,VLOOKUP($N25,СГИ!$O$3:$P$22,2),HLOOKUP(AD$6,СГИ!$Q$1:$AJ$2,2)))=1,CONCATENATE("при измерении ",$N25," ",AD$6," не допускается ! "),"")</f>
      </c>
      <c r="AE25" s="269">
        <f>IF(IF(ISNA(INDEX(СГИ!$Q$3:$AJ$22,VLOOKUP($N25,СГИ!$O$3:$P$22,2),HLOOKUP(AE$6,СГИ!$Q$1:$AJ$2,2))),"",INDEX(СГИ!$Q$3:$AJ$22,VLOOKUP($N25,СГИ!$O$3:$P$22,2),HLOOKUP(AE$6,СГИ!$Q$1:$AJ$2,2)))=1,CONCATENATE("при измерении ",$N25," ",AE$6," не допускается ! "),"")</f>
      </c>
      <c r="AF25" s="270">
        <f>IF(IF(ISNA(INDEX(СГИ!$Q$3:$AJ$22,VLOOKUP($N25,СГИ!$O$3:$P$22,2),HLOOKUP(AF$6,СГИ!$Q$1:$AJ$2,2))),"",INDEX(СГИ!$Q$3:$AJ$22,VLOOKUP($N25,СГИ!$O$3:$P$22,2),HLOOKUP(AF$6,СГИ!$Q$1:$AJ$2,2)))=1,CONCATENATE("при измерении ",$N25," ",AF$6," не допускается ! "),"")</f>
      </c>
      <c r="AG25">
        <f t="shared" si="2"/>
      </c>
    </row>
    <row r="26" spans="2:11" ht="31.5" customHeight="1" hidden="1" thickBot="1">
      <c r="B26" s="1127" t="s">
        <v>915</v>
      </c>
      <c r="C26" s="1127"/>
      <c r="D26" s="1128"/>
      <c r="E26" s="1044"/>
      <c r="J26" s="486">
        <f>IF(I7=1,"92","")</f>
      </c>
      <c r="K26" s="247"/>
    </row>
    <row r="27" spans="2:14" ht="31.5" customHeight="1" hidden="1" thickBot="1">
      <c r="B27" s="1127" t="s">
        <v>916</v>
      </c>
      <c r="C27" s="1127"/>
      <c r="D27" s="1128"/>
      <c r="E27" s="1044"/>
      <c r="J27" s="487">
        <f>IF(AND(I29+I13&gt;0,I29+I13&lt;4),"М","")</f>
      </c>
      <c r="L27" s="272">
        <f>IF(I31&gt;3,-2000,IF(I31=3,1000,0))</f>
        <v>0</v>
      </c>
      <c r="N27" s="196" t="s">
        <v>528</v>
      </c>
    </row>
    <row r="28" spans="1:15" s="271" customFormat="1" ht="31.5" customHeight="1" hidden="1" thickBot="1">
      <c r="A28" s="1"/>
      <c r="B28" s="1"/>
      <c r="C28" s="1"/>
      <c r="D28" s="1"/>
      <c r="E28" s="1"/>
      <c r="F28" s="1"/>
      <c r="G28" s="196"/>
      <c r="J28" s="488">
        <f>IF(I30&gt;0,"Т","")</f>
      </c>
      <c r="L28" s="287">
        <v>0</v>
      </c>
      <c r="M28" s="495"/>
      <c r="N28" s="557" t="s">
        <v>536</v>
      </c>
      <c r="O28" s="558">
        <f>MAX(L7:L23)</f>
        <v>0</v>
      </c>
    </row>
    <row r="29" spans="8:15" ht="31.5" customHeight="1" hidden="1" thickBot="1">
      <c r="H29" s="509" t="s">
        <v>338</v>
      </c>
      <c r="I29" s="510">
        <f>SUM(I8:I13)</f>
        <v>0</v>
      </c>
      <c r="J29" s="508">
        <f>IF(I29-I8-I9-C11&gt;1,"углеводороды не определяются селективно","")</f>
      </c>
      <c r="K29" s="273"/>
      <c r="L29" s="287">
        <v>0.025</v>
      </c>
      <c r="N29" s="557" t="s">
        <v>537</v>
      </c>
      <c r="O29" s="557">
        <f>SUMPRODUCT(I7:I23,ПГ!R$7:R$23)</f>
        <v>0</v>
      </c>
    </row>
    <row r="30" spans="8:15" ht="31.5" customHeight="1" hidden="1" thickBot="1">
      <c r="H30" s="506" t="s">
        <v>340</v>
      </c>
      <c r="I30" s="508">
        <f>SUM(I14:I23)</f>
        <v>0</v>
      </c>
      <c r="J30" s="895" t="str">
        <f>IF(J29="",IF(I31&gt;0,CONCATENATE("ОКА-",J26,J27,J28,IF(I31=I7,"",H7),IF(I31=I8,", град. по H2",H8),IF(I31=I9,", град. по CH4",H9),IF(I31=I10,", град по CH4, с зондом",H10),IF(I31=I11,", град. по C3H8",H11),IF(I31=I12,", град. по C6H14",H12),H14,H15,H16,H17,H18,H19,H20,H21,H22,H23),"данные не введены"),J29)</f>
        <v>данные не введены</v>
      </c>
      <c r="K30" s="240"/>
      <c r="L30" s="287">
        <v>0.05</v>
      </c>
      <c r="N30" s="557"/>
      <c r="O30" s="557"/>
    </row>
    <row r="31" spans="8:16" ht="31.5" customHeight="1" hidden="1" thickBot="1">
      <c r="H31" s="227" t="s">
        <v>341</v>
      </c>
      <c r="I31" s="237">
        <f>SUM(I7:I23)</f>
        <v>0</v>
      </c>
      <c r="J31" s="229" t="str">
        <f>IF(I31&gt;5,"(уменьшите число каналов)",IF(I31=0,"(введите необходимые данные)",""))</f>
        <v>(введите необходимые данные)</v>
      </c>
      <c r="K31" s="240"/>
      <c r="L31" s="287">
        <v>0.07</v>
      </c>
      <c r="N31" s="557" t="s">
        <v>538</v>
      </c>
      <c r="O31" s="557">
        <f>IF(I31=3,1575,0)</f>
        <v>0</v>
      </c>
      <c r="P31" s="1">
        <v>1575</v>
      </c>
    </row>
    <row r="32" spans="5:16" ht="31.5" customHeight="1" hidden="1">
      <c r="E32" s="1" t="s">
        <v>305</v>
      </c>
      <c r="H32" s="199"/>
      <c r="K32" s="240"/>
      <c r="L32" s="287">
        <v>0.1</v>
      </c>
      <c r="N32" s="557" t="s">
        <v>540</v>
      </c>
      <c r="O32" s="557">
        <f>IF(I31&gt;3,-2060,0)</f>
        <v>0</v>
      </c>
      <c r="P32" s="1">
        <v>-2060</v>
      </c>
    </row>
    <row r="33" spans="8:16" ht="15.75" customHeight="1">
      <c r="H33" s="199"/>
      <c r="I33" s="1117"/>
      <c r="J33" s="1116"/>
      <c r="K33" s="240"/>
      <c r="L33" s="287">
        <v>0.15</v>
      </c>
      <c r="N33" s="557" t="s">
        <v>534</v>
      </c>
      <c r="O33" s="557">
        <f>IF(OR(I31=1,I31=2),0.1*SUM(O28:O32),0)</f>
        <v>0</v>
      </c>
      <c r="P33" s="560">
        <v>0.1</v>
      </c>
    </row>
    <row r="34" spans="1:16" ht="31.5" customHeight="1" thickBot="1">
      <c r="A34" s="986"/>
      <c r="B34" s="987" t="s">
        <v>349</v>
      </c>
      <c r="C34" s="988" t="s">
        <v>342</v>
      </c>
      <c r="D34" s="988" t="s">
        <v>354</v>
      </c>
      <c r="E34" s="989"/>
      <c r="F34" s="990"/>
      <c r="G34" s="991"/>
      <c r="H34" s="199"/>
      <c r="I34" s="1116"/>
      <c r="J34" s="1116"/>
      <c r="K34" s="240"/>
      <c r="L34" s="287">
        <v>0.175</v>
      </c>
      <c r="N34" s="557" t="s">
        <v>535</v>
      </c>
      <c r="O34" s="557">
        <f>IF(AND(I31=1,SUM(C7:C13)+C19=1),0.15*SUM(O28:O32)-O33,0)</f>
        <v>0</v>
      </c>
      <c r="P34" s="560">
        <v>0.05</v>
      </c>
    </row>
    <row r="35" spans="1:15" ht="25.5" customHeight="1" thickBot="1">
      <c r="A35" s="992"/>
      <c r="B35" s="284" t="s">
        <v>312</v>
      </c>
      <c r="C35" s="285" t="s">
        <v>355</v>
      </c>
      <c r="D35" s="993" t="s">
        <v>356</v>
      </c>
      <c r="E35" s="994" t="s">
        <v>357</v>
      </c>
      <c r="F35" s="196"/>
      <c r="G35" s="815"/>
      <c r="H35" s="199"/>
      <c r="I35" s="1116"/>
      <c r="J35" s="1116"/>
      <c r="K35" s="240"/>
      <c r="L35" s="287">
        <v>0.2</v>
      </c>
      <c r="N35" s="557" t="s">
        <v>914</v>
      </c>
      <c r="O35" s="557">
        <f>IF(SUM(E26,E27)&gt;0,ПГ!C26/4,0)</f>
        <v>0</v>
      </c>
    </row>
    <row r="36" spans="1:15" ht="16.5" customHeight="1">
      <c r="A36" s="992"/>
      <c r="B36" s="941" t="s">
        <v>320</v>
      </c>
      <c r="C36" s="995">
        <v>16020</v>
      </c>
      <c r="D36" s="545" t="s">
        <v>358</v>
      </c>
      <c r="E36" s="196"/>
      <c r="F36" s="196"/>
      <c r="G36" s="1124" t="s">
        <v>774</v>
      </c>
      <c r="H36" s="914"/>
      <c r="I36" s="1116"/>
      <c r="J36" s="1116"/>
      <c r="K36" s="240"/>
      <c r="L36" s="287"/>
      <c r="N36" s="557"/>
      <c r="O36" s="557"/>
    </row>
    <row r="37" spans="1:15" ht="16.5" customHeight="1">
      <c r="A37" s="992"/>
      <c r="B37" s="942" t="s">
        <v>36</v>
      </c>
      <c r="C37" s="995">
        <v>24460</v>
      </c>
      <c r="D37" s="545" t="s">
        <v>359</v>
      </c>
      <c r="E37" s="196"/>
      <c r="F37" s="196"/>
      <c r="G37" s="1125"/>
      <c r="H37" s="914"/>
      <c r="I37" s="1116"/>
      <c r="J37" s="1116"/>
      <c r="K37" s="240"/>
      <c r="N37" s="557"/>
      <c r="O37" s="557"/>
    </row>
    <row r="38" spans="1:15" ht="16.5" customHeight="1">
      <c r="A38" s="992"/>
      <c r="B38" s="286" t="s">
        <v>136</v>
      </c>
      <c r="C38" s="995">
        <v>16020</v>
      </c>
      <c r="D38" s="545" t="s">
        <v>358</v>
      </c>
      <c r="E38" s="884"/>
      <c r="F38" s="196"/>
      <c r="G38" s="1125"/>
      <c r="H38" s="914"/>
      <c r="K38" s="240"/>
      <c r="N38" s="557" t="s">
        <v>532</v>
      </c>
      <c r="O38" s="557">
        <f>SUM(O28:O37)</f>
        <v>0</v>
      </c>
    </row>
    <row r="39" spans="1:15" ht="16.5" customHeight="1">
      <c r="A39" s="992"/>
      <c r="B39" s="286" t="s">
        <v>330</v>
      </c>
      <c r="C39" s="995">
        <v>16020</v>
      </c>
      <c r="D39" s="545" t="s">
        <v>358</v>
      </c>
      <c r="E39" s="196"/>
      <c r="F39" s="196"/>
      <c r="G39" s="1125"/>
      <c r="H39" s="914"/>
      <c r="K39" s="240"/>
      <c r="N39" s="557"/>
      <c r="O39" s="557"/>
    </row>
    <row r="40" spans="1:15" ht="16.5" customHeight="1">
      <c r="A40" s="996"/>
      <c r="B40" s="286" t="s">
        <v>331</v>
      </c>
      <c r="C40" s="995">
        <v>16020</v>
      </c>
      <c r="D40" s="545" t="s">
        <v>358</v>
      </c>
      <c r="E40" s="884"/>
      <c r="F40" s="196"/>
      <c r="G40" s="1125"/>
      <c r="H40" s="914"/>
      <c r="K40" s="240"/>
      <c r="N40" s="557"/>
      <c r="O40" s="557"/>
    </row>
    <row r="41" spans="1:11" ht="16.5" customHeight="1">
      <c r="A41" s="996"/>
      <c r="B41" s="286" t="s">
        <v>333</v>
      </c>
      <c r="C41" s="995">
        <v>16020</v>
      </c>
      <c r="D41" s="545" t="s">
        <v>358</v>
      </c>
      <c r="E41" s="884"/>
      <c r="F41" s="196"/>
      <c r="G41" s="1125"/>
      <c r="H41" s="914"/>
      <c r="K41" s="240"/>
    </row>
    <row r="42" spans="1:11" ht="16.5" customHeight="1">
      <c r="A42" s="996"/>
      <c r="B42" s="286" t="s">
        <v>334</v>
      </c>
      <c r="C42" s="995">
        <v>16020</v>
      </c>
      <c r="D42" s="545" t="s">
        <v>358</v>
      </c>
      <c r="E42" s="884"/>
      <c r="F42" s="196"/>
      <c r="G42" s="1125"/>
      <c r="H42" s="914"/>
      <c r="K42" s="240"/>
    </row>
    <row r="43" spans="1:11" ht="16.5" customHeight="1">
      <c r="A43" s="996"/>
      <c r="B43" s="286" t="s">
        <v>335</v>
      </c>
      <c r="C43" s="995">
        <v>16020</v>
      </c>
      <c r="D43" s="545" t="s">
        <v>358</v>
      </c>
      <c r="E43" s="884"/>
      <c r="F43" s="196"/>
      <c r="G43" s="1125"/>
      <c r="H43" s="914"/>
      <c r="K43" s="240"/>
    </row>
    <row r="44" spans="1:11" ht="7.5" customHeight="1">
      <c r="A44" s="996"/>
      <c r="B44" s="940" t="s">
        <v>48</v>
      </c>
      <c r="C44" s="997">
        <v>22900</v>
      </c>
      <c r="D44" s="998" t="s">
        <v>850</v>
      </c>
      <c r="E44" s="999"/>
      <c r="F44" s="1000"/>
      <c r="G44" s="1125"/>
      <c r="H44" s="914"/>
      <c r="K44" s="240"/>
    </row>
    <row r="45" spans="1:11" ht="7.5" customHeight="1">
      <c r="A45" s="996"/>
      <c r="B45" s="940" t="s">
        <v>117</v>
      </c>
      <c r="C45" s="997">
        <v>27530</v>
      </c>
      <c r="D45" s="998" t="s">
        <v>850</v>
      </c>
      <c r="E45" s="999"/>
      <c r="F45" s="1000"/>
      <c r="G45" s="1125"/>
      <c r="H45" s="914"/>
      <c r="K45" s="240"/>
    </row>
    <row r="46" spans="1:11" ht="16.5" customHeight="1">
      <c r="A46" s="1001"/>
      <c r="B46" s="1002" t="s">
        <v>336</v>
      </c>
      <c r="C46" s="1003">
        <v>23510</v>
      </c>
      <c r="D46" s="1004" t="s">
        <v>359</v>
      </c>
      <c r="E46" s="1005"/>
      <c r="F46" s="1006"/>
      <c r="G46" s="1126"/>
      <c r="H46" s="914"/>
      <c r="K46" s="240"/>
    </row>
    <row r="47" spans="4:11" ht="23.25" customHeight="1">
      <c r="D47" s="196"/>
      <c r="E47" s="196"/>
      <c r="F47" s="196"/>
      <c r="G47" s="196"/>
      <c r="H47" s="199"/>
      <c r="K47" s="240"/>
    </row>
    <row r="48" spans="7:11" ht="23.25" customHeight="1">
      <c r="G48" s="196"/>
      <c r="H48" s="199"/>
      <c r="K48" s="240"/>
    </row>
    <row r="49" spans="7:11" ht="23.25" customHeight="1">
      <c r="G49" s="196"/>
      <c r="H49" s="199"/>
      <c r="K49" s="240"/>
    </row>
    <row r="50" spans="1:11" ht="23.25" customHeight="1">
      <c r="A50" s="271"/>
      <c r="B50" s="271"/>
      <c r="C50" s="271"/>
      <c r="D50" s="271"/>
      <c r="E50" s="271"/>
      <c r="G50" s="196"/>
      <c r="H50" s="199"/>
      <c r="K50" s="240"/>
    </row>
    <row r="51" spans="1:11" ht="12.75">
      <c r="A51" s="271"/>
      <c r="B51" s="271"/>
      <c r="C51" s="271"/>
      <c r="D51" s="271"/>
      <c r="E51" s="271"/>
      <c r="G51" s="196"/>
      <c r="H51" s="199"/>
      <c r="K51" s="240"/>
    </row>
    <row r="52" spans="1:11" ht="12.75">
      <c r="A52" s="271"/>
      <c r="B52" s="271"/>
      <c r="C52" s="271"/>
      <c r="D52" s="271"/>
      <c r="E52" s="271"/>
      <c r="G52" s="196"/>
      <c r="H52" s="199"/>
      <c r="K52" s="240"/>
    </row>
    <row r="53" spans="1:11" ht="12.75">
      <c r="A53" s="271"/>
      <c r="G53" s="196"/>
      <c r="H53" s="199"/>
      <c r="K53" s="240"/>
    </row>
    <row r="54" spans="1:8" ht="33.75" customHeight="1" thickBot="1">
      <c r="A54" s="271"/>
      <c r="C54" s="211"/>
      <c r="G54" s="196"/>
      <c r="H54" s="199"/>
    </row>
    <row r="55" spans="1:12" ht="21.75" customHeight="1" thickBot="1">
      <c r="A55" s="271"/>
      <c r="C55" s="211"/>
      <c r="G55" s="196"/>
      <c r="H55" s="199"/>
      <c r="L55" s="272"/>
    </row>
    <row r="56" spans="1:8" ht="12.75">
      <c r="A56" s="271"/>
      <c r="C56" s="211"/>
      <c r="G56" s="196"/>
      <c r="H56" s="199"/>
    </row>
    <row r="57" spans="1:8" ht="12.75">
      <c r="A57" s="271"/>
      <c r="B57" s="271"/>
      <c r="C57" s="211"/>
      <c r="G57" s="196"/>
      <c r="H57" s="199"/>
    </row>
    <row r="58" spans="1:8" ht="12.75">
      <c r="A58" s="271"/>
      <c r="B58" s="271"/>
      <c r="C58" s="211"/>
      <c r="G58" s="196"/>
      <c r="H58" s="199"/>
    </row>
    <row r="59" spans="1:3" ht="12.75">
      <c r="A59" s="271"/>
      <c r="B59" s="271"/>
      <c r="C59" s="211"/>
    </row>
    <row r="60" ht="12.75">
      <c r="C60" s="211"/>
    </row>
    <row r="61" ht="12.75">
      <c r="C61" s="211"/>
    </row>
    <row r="62" ht="12.75">
      <c r="C62" s="943"/>
    </row>
    <row r="63" ht="12.75">
      <c r="C63" s="943"/>
    </row>
    <row r="64" ht="12.75">
      <c r="C64" s="211"/>
    </row>
  </sheetData>
  <sheetProtection selectLockedCells="1" selectUnlockedCells="1"/>
  <mergeCells count="7">
    <mergeCell ref="I1:J5"/>
    <mergeCell ref="I33:J37"/>
    <mergeCell ref="F16:G23"/>
    <mergeCell ref="G36:G46"/>
    <mergeCell ref="B26:D26"/>
    <mergeCell ref="B27:D27"/>
    <mergeCell ref="B25:F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40">
      <selection activeCell="H39" sqref="H39"/>
    </sheetView>
  </sheetViews>
  <sheetFormatPr defaultColWidth="9.00390625" defaultRowHeight="12.75"/>
  <sheetData>
    <row r="1" ht="12.75">
      <c r="A1" t="s">
        <v>305</v>
      </c>
    </row>
    <row r="2" ht="15.75">
      <c r="A2" s="935" t="s">
        <v>840</v>
      </c>
    </row>
    <row r="28" spans="1:7" ht="12.75">
      <c r="A28" t="s">
        <v>792</v>
      </c>
      <c r="G28" t="s">
        <v>796</v>
      </c>
    </row>
    <row r="29" spans="1:7" ht="12.75">
      <c r="A29" t="s">
        <v>793</v>
      </c>
      <c r="G29" t="s">
        <v>797</v>
      </c>
    </row>
    <row r="30" spans="1:7" ht="12.75">
      <c r="A30" t="s">
        <v>794</v>
      </c>
      <c r="G30" t="s">
        <v>798</v>
      </c>
    </row>
    <row r="31" spans="1:7" ht="12.75">
      <c r="A31" t="s">
        <v>795</v>
      </c>
      <c r="G31" t="s">
        <v>799</v>
      </c>
    </row>
    <row r="37" ht="12.75">
      <c r="A37" s="936" t="s">
        <v>800</v>
      </c>
    </row>
    <row r="38" ht="12.75">
      <c r="A38" t="s">
        <v>801</v>
      </c>
    </row>
    <row r="40" ht="12.75">
      <c r="A40" s="936" t="s">
        <v>802</v>
      </c>
    </row>
    <row r="41" ht="12.75">
      <c r="A41" t="s">
        <v>803</v>
      </c>
    </row>
    <row r="42" ht="12.75">
      <c r="A42" t="s">
        <v>804</v>
      </c>
    </row>
    <row r="43" ht="12.75">
      <c r="B43" t="s">
        <v>805</v>
      </c>
    </row>
    <row r="44" ht="12.75">
      <c r="A44" t="s">
        <v>929</v>
      </c>
    </row>
    <row r="45" ht="12.75">
      <c r="B45" t="s">
        <v>806</v>
      </c>
    </row>
    <row r="46" ht="12.75">
      <c r="A46" t="s">
        <v>841</v>
      </c>
    </row>
    <row r="47" ht="12.75">
      <c r="A47" t="s">
        <v>807</v>
      </c>
    </row>
    <row r="49" ht="12.75">
      <c r="A49" s="936" t="s">
        <v>808</v>
      </c>
    </row>
    <row r="50" ht="12.75">
      <c r="A50" t="s">
        <v>809</v>
      </c>
    </row>
    <row r="51" ht="12.75">
      <c r="A51" t="s">
        <v>810</v>
      </c>
    </row>
    <row r="52" ht="12.75">
      <c r="A52" t="s">
        <v>811</v>
      </c>
    </row>
    <row r="53" ht="12.75">
      <c r="A53" t="s">
        <v>812</v>
      </c>
    </row>
    <row r="54" ht="12.75">
      <c r="A54" t="s">
        <v>813</v>
      </c>
    </row>
    <row r="56" ht="12.75">
      <c r="A56" s="937" t="s">
        <v>842</v>
      </c>
    </row>
    <row r="57" ht="12.75">
      <c r="A57" t="s">
        <v>814</v>
      </c>
    </row>
    <row r="58" ht="12.75">
      <c r="A58" t="s">
        <v>843</v>
      </c>
    </row>
    <row r="59" ht="12.75">
      <c r="A59" t="s">
        <v>815</v>
      </c>
    </row>
    <row r="60" ht="12.75">
      <c r="A60" t="s">
        <v>846</v>
      </c>
    </row>
    <row r="61" ht="12.75">
      <c r="A61" t="s">
        <v>844</v>
      </c>
    </row>
    <row r="62" ht="12.75">
      <c r="A62" t="s">
        <v>845</v>
      </c>
    </row>
    <row r="64" ht="12.75">
      <c r="A64" s="936" t="s">
        <v>816</v>
      </c>
    </row>
    <row r="65" ht="12.75">
      <c r="A65" t="s">
        <v>817</v>
      </c>
    </row>
    <row r="66" ht="12.75">
      <c r="A66" s="371" t="s">
        <v>847</v>
      </c>
    </row>
    <row r="67" ht="12.75">
      <c r="A67" t="s">
        <v>848</v>
      </c>
    </row>
    <row r="69" ht="12.75">
      <c r="A69" s="937" t="s">
        <v>849</v>
      </c>
    </row>
    <row r="70" ht="12.75">
      <c r="A70" t="s">
        <v>818</v>
      </c>
    </row>
    <row r="72" ht="12.75">
      <c r="A72" s="936" t="s">
        <v>819</v>
      </c>
    </row>
    <row r="73" spans="1:6" ht="12.75">
      <c r="A73" t="s">
        <v>820</v>
      </c>
      <c r="F73" t="s">
        <v>824</v>
      </c>
    </row>
    <row r="74" spans="1:6" ht="12.75">
      <c r="A74" t="s">
        <v>872</v>
      </c>
      <c r="F74" t="s">
        <v>825</v>
      </c>
    </row>
    <row r="75" spans="1:6" ht="12.75">
      <c r="A75" t="s">
        <v>821</v>
      </c>
      <c r="F75" t="s">
        <v>826</v>
      </c>
    </row>
    <row r="76" spans="1:6" ht="12.75">
      <c r="A76" t="s">
        <v>822</v>
      </c>
      <c r="F76" t="s">
        <v>827</v>
      </c>
    </row>
    <row r="77" spans="1:6" ht="12.75">
      <c r="A77" t="s">
        <v>823</v>
      </c>
      <c r="F77" t="s">
        <v>828</v>
      </c>
    </row>
    <row r="78" ht="12.75">
      <c r="F78" t="s">
        <v>829</v>
      </c>
    </row>
    <row r="79" ht="12.75">
      <c r="A79" s="936" t="s">
        <v>830</v>
      </c>
    </row>
    <row r="80" ht="12.75">
      <c r="A80" t="s">
        <v>831</v>
      </c>
    </row>
    <row r="81" ht="12.75">
      <c r="A81" t="s">
        <v>832</v>
      </c>
    </row>
    <row r="83" ht="12.75">
      <c r="A83" s="936" t="s">
        <v>833</v>
      </c>
    </row>
    <row r="84" ht="12.75">
      <c r="A84" t="s">
        <v>834</v>
      </c>
    </row>
    <row r="85" ht="12.75">
      <c r="A85" t="s">
        <v>835</v>
      </c>
    </row>
    <row r="86" ht="12.75">
      <c r="A86" t="s">
        <v>838</v>
      </c>
    </row>
    <row r="88" ht="12.75">
      <c r="A88" s="936" t="s">
        <v>836</v>
      </c>
    </row>
    <row r="89" ht="12.75">
      <c r="A89" t="s">
        <v>839</v>
      </c>
    </row>
    <row r="90" ht="12.75">
      <c r="A90" t="s">
        <v>837</v>
      </c>
    </row>
    <row r="93" ht="12.75">
      <c r="A93" s="936" t="s">
        <v>851</v>
      </c>
    </row>
    <row r="94" ht="12.75">
      <c r="A94" t="s">
        <v>852</v>
      </c>
    </row>
    <row r="95" ht="12.75">
      <c r="A95" t="s">
        <v>853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20" sqref="F20"/>
    </sheetView>
  </sheetViews>
  <sheetFormatPr defaultColWidth="9.00390625" defaultRowHeight="12.75"/>
  <sheetData>
    <row r="1" spans="1:4" ht="12.75">
      <c r="A1" s="953"/>
      <c r="B1" s="954"/>
      <c r="C1" s="954"/>
      <c r="D1" s="955"/>
    </row>
    <row r="2" spans="1:4" ht="12.75">
      <c r="A2" s="961" t="s">
        <v>864</v>
      </c>
      <c r="B2" s="962"/>
      <c r="C2" s="962"/>
      <c r="D2" s="963"/>
    </row>
    <row r="3" spans="1:4" ht="12.75">
      <c r="A3" s="956"/>
      <c r="B3" s="545"/>
      <c r="C3" s="545"/>
      <c r="D3" s="848"/>
    </row>
    <row r="4" spans="1:4" ht="12.75">
      <c r="A4" s="956" t="s">
        <v>924</v>
      </c>
      <c r="B4" s="545"/>
      <c r="C4" s="545"/>
      <c r="D4" s="848"/>
    </row>
    <row r="5" spans="1:4" ht="12.75">
      <c r="A5" s="956" t="s">
        <v>925</v>
      </c>
      <c r="B5" s="545"/>
      <c r="C5" s="545"/>
      <c r="D5" s="848"/>
    </row>
    <row r="6" spans="1:4" ht="12.75">
      <c r="A6" s="956" t="s">
        <v>926</v>
      </c>
      <c r="B6" s="545"/>
      <c r="C6" s="545"/>
      <c r="D6" s="848"/>
    </row>
    <row r="7" spans="1:4" ht="12.75">
      <c r="A7" s="956"/>
      <c r="B7" s="545"/>
      <c r="C7" s="545"/>
      <c r="D7" s="848"/>
    </row>
    <row r="8" spans="1:4" ht="12.75">
      <c r="A8" s="957" t="s">
        <v>866</v>
      </c>
      <c r="B8" s="545"/>
      <c r="C8" s="545"/>
      <c r="D8" s="848"/>
    </row>
    <row r="9" spans="1:4" ht="12.75">
      <c r="A9" s="956" t="s">
        <v>865</v>
      </c>
      <c r="B9" s="545" t="s">
        <v>362</v>
      </c>
      <c r="C9" s="545"/>
      <c r="D9" s="848"/>
    </row>
    <row r="10" spans="1:4" ht="12.75">
      <c r="A10" s="956"/>
      <c r="B10" s="952">
        <f>IF('И21,И22-стационарные с вын. БД'!P7=1,350*'И21,И22-стационарные с вын. БД'!C26,0)</f>
        <v>0</v>
      </c>
      <c r="C10" s="545"/>
      <c r="D10" s="848"/>
    </row>
    <row r="11" spans="1:4" ht="12.75">
      <c r="A11" s="956"/>
      <c r="B11" s="545"/>
      <c r="C11" s="545"/>
      <c r="D11" s="848"/>
    </row>
    <row r="12" spans="1:4" ht="12.75">
      <c r="A12" s="956" t="s">
        <v>867</v>
      </c>
      <c r="B12" s="545" t="s">
        <v>362</v>
      </c>
      <c r="C12" s="545"/>
      <c r="D12" s="848"/>
    </row>
    <row r="13" spans="1:4" ht="12.75">
      <c r="A13" s="956"/>
      <c r="B13" s="952">
        <f>IF(AND('И21,И22-стационарные с вын. БД'!P7&gt;=1,'И21,И22-стационарные с вын. БД'!P9&gt;0),280*'И21,И22-стационарные с вын. БД'!C26,IF(AND('И21,И22-стационарные с вын. БД'!P7=0,'И21,И22-стационарные с вын. БД'!P9&gt;=1),630*'И21,И22-стационарные с вын. БД'!C26,0))</f>
        <v>0</v>
      </c>
      <c r="C13" s="545"/>
      <c r="D13" s="848"/>
    </row>
    <row r="14" spans="1:4" ht="12.75">
      <c r="A14" s="956"/>
      <c r="B14" s="545"/>
      <c r="C14" s="545"/>
      <c r="D14" s="848"/>
    </row>
    <row r="15" spans="1:4" ht="12.75">
      <c r="A15" s="956" t="s">
        <v>868</v>
      </c>
      <c r="B15" s="545" t="s">
        <v>362</v>
      </c>
      <c r="C15" s="545"/>
      <c r="D15" s="848"/>
    </row>
    <row r="16" spans="1:4" ht="12.75">
      <c r="A16" s="956"/>
      <c r="B16" s="952">
        <f>IF('И21,И22-стационарные с вын. БД'!P8=1,IF(AND('И21,И22-стационарные с вын. БД'!P7=0,'И21,И22-стационарные с вын. БД'!P9=0),1790*SUM('И21,И22-стационарные с вын. БД'!M7:M24),IF(AND('И21,И22-стационарные с вын. БД'!P7=0,'И21,И22-стационарные с вын. БД'!P9=1),1160*SUM('И21,И22-стационарные с вын. БД'!M7:M24),IF(AND('И21,И22-стационарные с вын. БД'!P7=1,'И21,И22-стационарные с вын. БД'!P9=0),1440*SUM('И21,И22-стационарные с вын. БД'!M7:M24),B17))),0)</f>
        <v>0</v>
      </c>
      <c r="C16" s="545"/>
      <c r="D16" s="848"/>
    </row>
    <row r="17" spans="1:4" ht="12.75">
      <c r="A17" s="956"/>
      <c r="B17" s="545" t="str">
        <f>IF(AND('И21,И22-стационарные с вын. БД'!P7=1,'И21,И22-стационарные с вын. БД'!P8=1,'И21,И22-стационарные с вын. БД'!P9=1),1160*SUM('И21,И22-стационарные с вын. БД'!M7:M24),"функция не участвует")</f>
        <v>функция не участвует</v>
      </c>
      <c r="C17" s="545"/>
      <c r="D17" s="848"/>
    </row>
    <row r="18" spans="1:4" ht="12.75">
      <c r="A18" s="956"/>
      <c r="B18" s="545"/>
      <c r="C18" s="545"/>
      <c r="D18" s="848"/>
    </row>
    <row r="19" spans="1:4" ht="12.75">
      <c r="A19" s="956"/>
      <c r="B19" s="545"/>
      <c r="C19" s="545"/>
      <c r="D19" s="848"/>
    </row>
    <row r="20" spans="1:4" ht="12.75">
      <c r="A20" s="958"/>
      <c r="B20" s="959"/>
      <c r="C20" s="959"/>
      <c r="D20" s="96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160"/>
  <sheetViews>
    <sheetView zoomScalePageLayoutView="0" workbookViewId="0" topLeftCell="A49">
      <pane xSplit="25440" topLeftCell="AE1" activePane="topLeft" state="split"/>
      <selection pane="topLeft" activeCell="B4" sqref="B4"/>
      <selection pane="topRight" activeCell="AF82" sqref="AF80:AF82"/>
    </sheetView>
  </sheetViews>
  <sheetFormatPr defaultColWidth="14.75390625" defaultRowHeight="33" customHeight="1"/>
  <cols>
    <col min="1" max="7" width="14.75390625" style="1" customWidth="1"/>
    <col min="8" max="8" width="16.625" style="815" customWidth="1"/>
    <col min="9" max="9" width="16.625" style="1" customWidth="1"/>
    <col min="10" max="10" width="17.25390625" style="0" customWidth="1"/>
    <col min="11" max="16" width="14.75390625" style="0" customWidth="1"/>
    <col min="17" max="17" width="26.25390625" style="0" customWidth="1"/>
  </cols>
  <sheetData>
    <row r="1" spans="1:39" ht="33" customHeight="1" thickBot="1">
      <c r="A1" s="786" t="s">
        <v>651</v>
      </c>
      <c r="I1" s="882" t="s">
        <v>731</v>
      </c>
      <c r="J1" s="815"/>
      <c r="K1" s="1"/>
      <c r="AL1" s="1"/>
      <c r="AM1" s="1" t="s">
        <v>634</v>
      </c>
    </row>
    <row r="2" spans="1:39" ht="33" customHeight="1" thickBot="1">
      <c r="A2" s="827" t="s">
        <v>653</v>
      </c>
      <c r="B2" s="840" t="s">
        <v>681</v>
      </c>
      <c r="C2" s="839" t="s">
        <v>677</v>
      </c>
      <c r="D2" s="840" t="s">
        <v>648</v>
      </c>
      <c r="E2" s="839" t="s">
        <v>688</v>
      </c>
      <c r="F2" s="840" t="s">
        <v>648</v>
      </c>
      <c r="G2" s="828" t="s">
        <v>690</v>
      </c>
      <c r="H2" s="845" t="s">
        <v>691</v>
      </c>
      <c r="I2" s="843" t="s">
        <v>307</v>
      </c>
      <c r="J2" s="847" t="s">
        <v>683</v>
      </c>
      <c r="K2" s="1"/>
      <c r="L2" s="1"/>
      <c r="M2" s="497"/>
      <c r="N2" s="497"/>
      <c r="O2" s="497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L2" s="807" t="s">
        <v>613</v>
      </c>
      <c r="AM2" s="1" t="s">
        <v>616</v>
      </c>
    </row>
    <row r="3" spans="1:39" ht="33" customHeight="1" thickBot="1">
      <c r="A3" s="751">
        <f>IF(C3="",A5,C3)</f>
      </c>
      <c r="B3" s="829" t="str">
        <f>CONCATENATE("- ",ADDRESS(6,9,1,1,"стац. с выносн. БД"))</f>
        <v>- 'стац. с выносн. БД'!$I$6</v>
      </c>
      <c r="C3" s="575">
        <f>IF(AND(C5="",C7="",C6="",C8="",C9="",G13=""),"",$I$12)</f>
      </c>
      <c r="D3" s="829" t="str">
        <f>CONCATENATE("- ",ADDRESS(6,9,1,1,"стац. с выносн. БД"))</f>
        <v>- 'стац. с выносн. БД'!$I$6</v>
      </c>
      <c r="E3" s="575" t="str">
        <f>IF(G3="",E5,G3)</f>
        <v>взрывозащита НЕ предусмотрена</v>
      </c>
      <c r="F3" s="829" t="str">
        <f>CONCATENATE("- ",ADDRESS(8,9,1,1,"стац. с выносн. БД"))</f>
        <v>- 'стац. с выносн. БД'!$I$8</v>
      </c>
      <c r="G3" s="575">
        <f>IF(G5="",IF(G6="",IF(G7="",IF(G8="",IF(G9="",IF(G10="","",G10),G9),G8),G7),G6),G5)</f>
      </c>
      <c r="H3" s="846" t="str">
        <f>CONCATENATE("- ",ADDRESS(8,9,1,1,"стац. с выносн. БД"))</f>
        <v>- 'стац. с выносн. БД'!$I$8</v>
      </c>
      <c r="I3" s="604" t="s">
        <v>573</v>
      </c>
      <c r="J3" s="847" t="s">
        <v>684</v>
      </c>
      <c r="K3" s="1"/>
      <c r="L3" s="1"/>
      <c r="M3" s="1"/>
      <c r="N3" s="1"/>
      <c r="O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L3" s="807" t="s">
        <v>614</v>
      </c>
      <c r="AM3" s="1" t="s">
        <v>617</v>
      </c>
    </row>
    <row r="4" spans="1:39" ht="33" customHeight="1" thickBot="1">
      <c r="A4" s="831" t="s">
        <v>643</v>
      </c>
      <c r="C4" s="832" t="s">
        <v>551</v>
      </c>
      <c r="E4" s="536" t="s">
        <v>725</v>
      </c>
      <c r="H4" s="816" t="s">
        <v>692</v>
      </c>
      <c r="I4" s="544" t="s">
        <v>582</v>
      </c>
      <c r="J4" s="815"/>
      <c r="K4" s="1"/>
      <c r="L4" s="1"/>
      <c r="M4" s="1"/>
      <c r="N4" s="1"/>
      <c r="O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L4" s="804" t="s">
        <v>621</v>
      </c>
      <c r="AM4" s="1" t="s">
        <v>622</v>
      </c>
    </row>
    <row r="5" spans="1:39" ht="33" customHeight="1" thickBot="1">
      <c r="A5" s="575">
        <f>IF('И21,И22-стационарные с вын. БД'!$C$26&gt;0,CONCATENATE(IF('И21,И22-стационарные с вын. БД'!$I$2="",$A$10,$A$6),A22,A23,A24,A26,A25,A27,A28,A29,A30,A31,A32),"")</f>
      </c>
      <c r="B5" s="512" t="s">
        <v>652</v>
      </c>
      <c r="C5" s="575">
        <f>IF('И21,И22-стационарные с вын. БД'!C26&gt;16,$I$12,"")</f>
      </c>
      <c r="D5" s="826" t="s">
        <v>655</v>
      </c>
      <c r="E5" s="878" t="str">
        <f>IF('И21,И22-стационарные с вын. БД'!P6=1,I13,IF('И21,И22-стационарные с вын. БД'!C29&gt;0,I15,I14))</f>
        <v>взрывозащита НЕ предусмотрена</v>
      </c>
      <c r="G5" s="575">
        <f>IF(AND(OR('И21,И22-стационарные с вын. БД'!P$6="",'И21,И22-стационарные с вын. БД'!P$6=1),OR('И21,И22-стационарные с вын. БД'!P$7="",'И21,И22-стационарные с вын. БД'!P$7=1),OR('И21,И22-стационарные с вын. БД'!P$8="",'И21,И22-стационарные с вын. БД'!P$8=1),OR('И21,И22-стационарные с вын. БД'!P$13="",'И21,И22-стационарные с вын. БД'!P$13=1)),"",$I$12)</f>
      </c>
      <c r="H5" s="847" t="s">
        <v>693</v>
      </c>
      <c r="I5" s="544" t="s">
        <v>549</v>
      </c>
      <c r="J5" s="196"/>
      <c r="K5" s="622" t="s">
        <v>528</v>
      </c>
      <c r="L5" s="625"/>
      <c r="M5" s="855" t="s">
        <v>591</v>
      </c>
      <c r="N5" s="856" t="s">
        <v>309</v>
      </c>
      <c r="O5" s="857" t="s">
        <v>310</v>
      </c>
      <c r="Q5" s="1"/>
      <c r="R5" s="580" t="s">
        <v>311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L5" s="804" t="s">
        <v>623</v>
      </c>
      <c r="AM5" s="1" t="s">
        <v>624</v>
      </c>
    </row>
    <row r="6" spans="1:39" ht="33" customHeight="1" thickBot="1">
      <c r="A6" s="575" t="str">
        <f>CONCATENATE(A10,IF('И21,И22-стационарные с вын. БД'!I$2=сообщения!I$2,$A$9,IF('И21,И22-стационарные с вын. БД'!I$2=сообщения!I$3,A8,"")),'И21,И22-стационарные с вын. БД'!L14,'И21,И22-стационарные с вын. БД'!L15,'И21,И22-стационарные с вын. БД'!L16,'И21,И22-стационарные с вын. БД'!L17,'И21,И22-стационарные с вын. БД'!L18,'И21,И22-стационарные с вын. БД'!L21,'И21,И22-стационарные с вын. БД'!L22,'И21,И22-стационарные с вын. БД'!L19,'И21,И22-стационарные с вын. БД'!L20)</f>
        <v>Хоббит-Т</v>
      </c>
      <c r="B6" s="512" t="s">
        <v>652</v>
      </c>
      <c r="C6" s="575">
        <f>IF(AND('И21,И22-стационарные с вын. БД'!C26&gt;2,'И21,И22-стационарные с вын. БД'!P13=1),$I$12,"")</f>
      </c>
      <c r="D6" s="826" t="s">
        <v>656</v>
      </c>
      <c r="G6" s="575">
        <f>IF(OR('И21,И22-стационарные с вын. БД'!C$8*'И21,И22-стационарные с вын. БД'!P$6&gt;0,'И21,И22-стационарные с вын. БД'!E8&gt;0),$I$12,"")</f>
      </c>
      <c r="H6" s="847" t="s">
        <v>694</v>
      </c>
      <c r="I6" s="544" t="s">
        <v>552</v>
      </c>
      <c r="J6" s="196"/>
      <c r="K6" s="623" t="s">
        <v>521</v>
      </c>
      <c r="L6" s="626">
        <f>MAX(сообщения!O7:O24)</f>
        <v>0</v>
      </c>
      <c r="M6" s="778" t="str">
        <f>'И21,И22-стационарные с вын. БД'!D5</f>
        <v>Хоббит-Т</v>
      </c>
      <c r="N6" s="858" t="str">
        <f>'И21,И22-стационарные с вын. БД'!D5</f>
        <v>Хоббит-Т</v>
      </c>
      <c r="O6" s="859" t="str">
        <f>'И21,И22-стационарные с вын. БД'!D5</f>
        <v>Хоббит-Т</v>
      </c>
      <c r="Q6" s="610"/>
      <c r="R6" s="611">
        <f>IF(Q7="","",Q7)</f>
      </c>
      <c r="S6" s="611">
        <f>IF(Q8="","",Q8)</f>
      </c>
      <c r="T6" s="611">
        <f>IF(Q9="","",Q9)</f>
      </c>
      <c r="U6" s="611">
        <f>IF(Q10="","",Q10)</f>
      </c>
      <c r="V6" s="611">
        <f>IF(Q11="","",Q11)</f>
      </c>
      <c r="W6" s="612">
        <f>IF(Q12="","",Q12)</f>
      </c>
      <c r="X6" s="612">
        <f>IF(Q13="","",Q13)</f>
      </c>
      <c r="Y6" s="612">
        <f>IF(Q14="","",Q14)</f>
      </c>
      <c r="Z6" s="612">
        <f>IF(Q15="","",Q15)</f>
      </c>
      <c r="AA6" s="612">
        <f>IF(Q16="","",Q16)</f>
      </c>
      <c r="AB6" s="612">
        <f>IF(Q17="","",Q17)</f>
      </c>
      <c r="AC6" s="612">
        <f>IF(Q18="","",Q18)</f>
      </c>
      <c r="AD6" s="612">
        <f>IF(Q19="","",Q19)</f>
      </c>
      <c r="AE6" s="612">
        <f>IF(Q20="","",Q20)</f>
      </c>
      <c r="AF6" s="612">
        <f>IF(Q21="","",Q21)</f>
      </c>
      <c r="AG6" s="612">
        <f>IF(Q22="","",Q22)</f>
      </c>
      <c r="AH6" s="612">
        <f>IF(Q23="","",Q23)</f>
      </c>
      <c r="AI6" s="613">
        <f>IF(Q24="","",Q24)</f>
      </c>
      <c r="AJ6" s="585">
        <f>CONCATENATE(AJ7,AJ8,AJ9,AJ14,AJ15,AJ16,AJ17,AJ18,AJ19,AJ20,AJ21,AJ22,AJ23,AJ24)</f>
      </c>
      <c r="AL6" s="807" t="s">
        <v>856</v>
      </c>
      <c r="AM6" s="1" t="s">
        <v>619</v>
      </c>
    </row>
    <row r="7" spans="1:39" ht="33" customHeight="1" thickBot="1">
      <c r="A7" s="575">
        <f>IF('И21,И22-стационарные с вын. БД'!I$2=сообщения!I$2,$A$9,"")</f>
      </c>
      <c r="B7" s="512" t="s">
        <v>575</v>
      </c>
      <c r="C7" s="575">
        <f>IF(MAX('И21,И22-стационарные с вын. БД'!D7:D24)&gt;3,$I$12,"")</f>
      </c>
      <c r="D7" s="826" t="s">
        <v>657</v>
      </c>
      <c r="G7" s="575">
        <f>IF(AND('И21,И22-стационарные с вын. БД'!P$7=1,OR('И21,И22-стационарные с вын. БД'!P$6=1,SUM('И21,И22-стационарные с вын. БД'!E$7:E$24)&gt;0)),$I$12,"")</f>
      </c>
      <c r="H7" s="847" t="s">
        <v>695</v>
      </c>
      <c r="I7" s="544" t="s">
        <v>545</v>
      </c>
      <c r="J7" s="196"/>
      <c r="K7" s="623" t="s">
        <v>522</v>
      </c>
      <c r="L7" s="860">
        <f>SUMPRODUCT('И21,И22-стационарные с вын. БД'!M7:M24,сообщения!N7:N24)</f>
        <v>0</v>
      </c>
      <c r="M7" s="867">
        <f>'И21,И22-стационарные с вын. БД'!K7</f>
      </c>
      <c r="N7" s="492">
        <f>IF(SUM('И21,И22-стационарные с вын. БД'!$C$7:$C$24)&gt;8,IF(OR('И21,И22-стационарные с вын. БД'!B7="O3",'И21,И22-стационарные с вын. БД'!B7="F2"),"--",VLOOKUP('И21,И22-стационарные с вын. БД'!B7,СГИ!$A$8:$G$27,IF(N$6=сообщения!I$3,3,4),TRUE)+VLOOKUP('И21,И22-стационарные с вын. БД'!B7,СГИ!$A$8:$G$27,2,TRUE)),VLOOKUP('И21,И22-стационарные с вын. БД'!B7,СГИ!$A$8:$G$27,IF(N$6=сообщения!I$3,3,4),TRUE))</f>
        <v>10660</v>
      </c>
      <c r="O7" s="493">
        <f>IF('И21,И22-стационарные с вын. БД'!M7&gt;0,VLOOKUP(M7,СГИ!$A$8:$G$27,IF(N$6=сообщения!I$3,5,6),TRUE),"")</f>
      </c>
      <c r="Q7" s="614">
        <f>IF(сообщения!M7="","",сообщения!M7)</f>
      </c>
      <c r="R7" s="587">
        <f>IF(IF(ISNA(INDEX(СГИ!$Q$3:$AJ$22,VLOOKUP($Q7,СГИ!$O$3:$P$22,2),HLOOKUP(R$6,СГИ!$Q$1:$AJ$2,2))),"",INDEX(СГИ!$Q$3:$AJ$22,VLOOKUP($Q7,СГИ!$O$3:$P$22,2),HLOOKUP(R$6,СГИ!$Q$1:$AJ$2,2)))=1,CONCATENATE("при измерении ",$Q7," ",R$6," не допускается ! "),"")</f>
      </c>
      <c r="S7" s="587">
        <f>IF(IF(ISNA(INDEX(СГИ!$Q$3:$AJ$22,VLOOKUP($Q7,СГИ!$O$3:$P$22,2),HLOOKUP(S$6,СГИ!$Q$1:$AJ$2,2))),"",INDEX(СГИ!$Q$3:$AJ$22,VLOOKUP($Q7,СГИ!$O$3:$P$22,2),HLOOKUP(S$6,СГИ!$Q$1:$AJ$2,2)))=1,CONCATENATE("при измерении ",$Q7," ",S$6," не допускается ! "),"")</f>
      </c>
      <c r="T7" s="587">
        <f>IF(IF(ISNA(INDEX(СГИ!$Q$3:$AJ$22,VLOOKUP($Q7,СГИ!$O$3:$P$22,2),HLOOKUP(T$6,СГИ!$Q$1:$AJ$2,2))),"",INDEX(СГИ!$Q$3:$AJ$22,VLOOKUP($Q7,СГИ!$O$3:$P$22,2),HLOOKUP(T$6,СГИ!$Q$1:$AJ$2,2)))=1,CONCATENATE("при измерении ",$Q7," ",T$6," не допускается ! "),"")</f>
      </c>
      <c r="U7" s="587">
        <f>IF(IF(ISNA(INDEX(СГИ!$Q$3:$AJ$22,VLOOKUP($Q7,СГИ!$O$3:$P$22,2),HLOOKUP(U$6,СГИ!$Q$1:$AJ$2,2))),"",INDEX(СГИ!$Q$3:$AJ$22,VLOOKUP($Q7,СГИ!$O$3:$P$22,2),HLOOKUP(U$6,СГИ!$Q$1:$AJ$2,2)))=1,CONCATENATE("при измерении ",$Q7," ",U$6," не допускается ! "),"")</f>
      </c>
      <c r="V7" s="587">
        <f>IF(IF(ISNA(INDEX(СГИ!$Q$3:$AJ$22,VLOOKUP($Q7,СГИ!$O$3:$P$22,2),HLOOKUP(V$6,СГИ!$Q$1:$AJ$2,2))),"",INDEX(СГИ!$Q$3:$AJ$22,VLOOKUP($Q7,СГИ!$O$3:$P$22,2),HLOOKUP(V$6,СГИ!$Q$1:$AJ$2,2)))=1,CONCATENATE("при измерении ",$Q7," ",V$6," не допускается ! "),"")</f>
      </c>
      <c r="W7" s="587">
        <f>IF(IF(ISNA(INDEX(СГИ!$Q$3:$AJ$22,VLOOKUP($Q7,СГИ!$O$3:$P$22,2),HLOOKUP(W$6,СГИ!$Q$1:$AJ$2,2))),"",INDEX(СГИ!$Q$3:$AJ$22,VLOOKUP($Q7,СГИ!$O$3:$P$22,2),HLOOKUP(W$6,СГИ!$Q$1:$AJ$2,2)))=1,CONCATENATE("при измерении ",$Q7," ",W$6," не допускается ! "),"")</f>
      </c>
      <c r="X7" s="587">
        <f>IF(IF(ISNA(INDEX(СГИ!$Q$3:$AJ$22,VLOOKUP($Q7,СГИ!$O$3:$P$22,2),HLOOKUP(X$6,СГИ!$Q$1:$AJ$2,2))),"",INDEX(СГИ!$Q$3:$AJ$22,VLOOKUP($Q7,СГИ!$O$3:$P$22,2),HLOOKUP(X$6,СГИ!$Q$1:$AJ$2,2)))=1,CONCATENATE("при измерении ",$Q7," ",X$6," не допускается ! "),"")</f>
      </c>
      <c r="Y7" s="587">
        <f>IF(IF(ISNA(INDEX(СГИ!$Q$3:$AJ$22,VLOOKUP($Q7,СГИ!$O$3:$P$22,2),HLOOKUP(Y$6,СГИ!$Q$1:$AJ$2,2))),"",INDEX(СГИ!$Q$3:$AJ$22,VLOOKUP($Q7,СГИ!$O$3:$P$22,2),HLOOKUP(Y$6,СГИ!$Q$1:$AJ$2,2)))=1,CONCATENATE("при измерении ",$Q7," ",Y$6," не допускается ! "),"")</f>
      </c>
      <c r="Z7" s="587">
        <f>IF(IF(ISNA(INDEX(СГИ!$Q$3:$AJ$22,VLOOKUP($Q7,СГИ!$O$3:$P$22,2),HLOOKUP(Z$6,СГИ!$Q$1:$AJ$2,2))),"",INDEX(СГИ!$Q$3:$AJ$22,VLOOKUP($Q7,СГИ!$O$3:$P$22,2),HLOOKUP(Z$6,СГИ!$Q$1:$AJ$2,2)))=1,CONCATENATE("при измерении ",$Q7," ",Z$6," не допускается ! "),"")</f>
      </c>
      <c r="AA7" s="587">
        <f>IF(IF(ISNA(INDEX(СГИ!$Q$3:$AJ$22,VLOOKUP($Q7,СГИ!$O$3:$P$22,2),HLOOKUP(AA$6,СГИ!$Q$1:$AJ$2,2))),"",INDEX(СГИ!$Q$3:$AJ$22,VLOOKUP($Q7,СГИ!$O$3:$P$22,2),HLOOKUP(AA$6,СГИ!$Q$1:$AJ$2,2)))=1,CONCATENATE("при измерении ",$Q7," ",AA$6," не допускается ! "),"")</f>
      </c>
      <c r="AB7" s="587">
        <f>IF(IF(ISNA(INDEX(СГИ!$Q$3:$AJ$22,VLOOKUP($Q7,СГИ!$O$3:$P$22,2),HLOOKUP(AB$6,СГИ!$Q$1:$AJ$2,2))),"",INDEX(СГИ!$Q$3:$AJ$22,VLOOKUP($Q7,СГИ!$O$3:$P$22,2),HLOOKUP(AB$6,СГИ!$Q$1:$AJ$2,2)))=1,CONCATENATE("при измерении ",$Q7," ",AB$6," не допускается ! "),"")</f>
      </c>
      <c r="AC7" s="587">
        <f>IF(IF(ISNA(INDEX(СГИ!$Q$3:$AJ$22,VLOOKUP($Q7,СГИ!$O$3:$P$22,2),HLOOKUP(AC$6,СГИ!$Q$1:$AJ$2,2))),"",INDEX(СГИ!$Q$3:$AJ$22,VLOOKUP($Q7,СГИ!$O$3:$P$22,2),HLOOKUP(AC$6,СГИ!$Q$1:$AJ$2,2)))=1,CONCATENATE("при измерении ",$Q7," ",AC$6," не допускается ! "),"")</f>
      </c>
      <c r="AD7" s="587">
        <f>IF(IF(ISNA(INDEX(СГИ!$Q$3:$AJ$22,VLOOKUP($Q7,СГИ!$O$3:$P$22,2),HLOOKUP(AD$6,СГИ!$Q$1:$AJ$2,2))),"",INDEX(СГИ!$Q$3:$AJ$22,VLOOKUP($Q7,СГИ!$O$3:$P$22,2),HLOOKUP(AD$6,СГИ!$Q$1:$AJ$2,2)))=1,CONCATENATE("при измерении ",$Q7," ",AD$6," не допускается ! "),"")</f>
      </c>
      <c r="AE7" s="587">
        <f>IF(IF(ISNA(INDEX(СГИ!$Q$3:$AJ$22,VLOOKUP($Q7,СГИ!$O$3:$P$22,2),HLOOKUP(AE$6,СГИ!$Q$1:$AJ$2,2))),"",INDEX(СГИ!$Q$3:$AJ$22,VLOOKUP($Q7,СГИ!$O$3:$P$22,2),HLOOKUP(AE$6,СГИ!$Q$1:$AJ$2,2)))=1,CONCATENATE("при измерении ",$Q7," ",AE$6," не допускается ! "),"")</f>
      </c>
      <c r="AF7" s="587">
        <f>IF(IF(ISNA(INDEX(СГИ!$Q$3:$AJ$22,VLOOKUP($Q7,СГИ!$O$3:$P$22,2),HLOOKUP(AF$6,СГИ!$Q$1:$AJ$2,2))),"",INDEX(СГИ!$Q$3:$AJ$22,VLOOKUP($Q7,СГИ!$O$3:$P$22,2),HLOOKUP(AF$6,СГИ!$Q$1:$AJ$2,2)))=1,CONCATENATE("при измерении ",$Q7," ",AF$6," не допускается ! "),"")</f>
      </c>
      <c r="AG7" s="587">
        <f>IF(IF(ISNA(INDEX(СГИ!$Q$3:$AJ$22,VLOOKUP($Q7,СГИ!$O$3:$P$22,2),HLOOKUP(AG$6,СГИ!$Q$1:$AJ$2,2))),"",INDEX(СГИ!$Q$3:$AJ$22,VLOOKUP($Q7,СГИ!$O$3:$P$22,2),HLOOKUP(AG$6,СГИ!$Q$1:$AJ$2,2)))=1,CONCATENATE("при измерении ",$Q7," ",AG$6," не допускается ! "),"")</f>
      </c>
      <c r="AH7" s="587">
        <f>IF(IF(ISNA(INDEX(СГИ!$Q$3:$AJ$22,VLOOKUP($Q7,СГИ!$O$3:$P$22,2),HLOOKUP(AH$6,СГИ!$Q$1:$AJ$2,2))),"",INDEX(СГИ!$Q$3:$AJ$22,VLOOKUP($Q7,СГИ!$O$3:$P$22,2),HLOOKUP(AH$6,СГИ!$Q$1:$AJ$2,2)))=1,CONCATENATE("при измерении ",$Q7," ",AH$6," не допускается ! "),"")</f>
      </c>
      <c r="AI7" s="615">
        <f>IF(IF(ISNA(INDEX(СГИ!$Q$3:$AJ$22,VLOOKUP($Q7,СГИ!$O$3:$P$22,2),HLOOKUP(AI$6,СГИ!$Q$1:$AJ$2,2))),"",INDEX(СГИ!$Q$3:$AJ$22,VLOOKUP($Q7,СГИ!$O$3:$P$22,2),HLOOKUP(AI$6,СГИ!$Q$1:$AJ$2,2)))=1,CONCATENATE("при измерении ",$Q7," ",AI$6," не допускается ! "),"")</f>
      </c>
      <c r="AJ7" s="1">
        <f aca="true" t="shared" si="0" ref="AJ7:AJ24">CONCATENATE(R7,S7,T7,U7,V7,W7,X7,Y7,Z7,AA7,AB7,AC7,AD7,AE7,AF7,AG7,AH7,AI7)</f>
      </c>
      <c r="AL7" s="807" t="s">
        <v>856</v>
      </c>
      <c r="AM7" s="1" t="s">
        <v>918</v>
      </c>
    </row>
    <row r="8" spans="1:39" ht="33" customHeight="1" thickBot="1">
      <c r="A8" s="575">
        <f>IF('И21,И22-стационарные с вын. БД'!$I2=I$3,CONCATENATE(A34,A35,A36,A37,A38,A39,A40,A41,A42,A43),"")</f>
      </c>
      <c r="B8" s="512" t="s">
        <v>576</v>
      </c>
      <c r="C8" s="575">
        <f>IF(AND('И21,И22-стационарные с вын. БД'!I2=I2,OR('И21,И22-стационарные с вын. БД'!C21&gt;0,'И21,И22-стационарные с вын. БД'!C22&gt;0)),сообщения!I12,"")</f>
      </c>
      <c r="D8" s="826" t="s">
        <v>658</v>
      </c>
      <c r="G8" s="575">
        <f>IF(AND('И21,И22-стационарные с вын. БД'!P$8=1,OR('И21,И22-стационарные с вын. БД'!P$6=1,SUM('И21,И22-стационарные с вын. БД'!E$7:E$24)&gt;0)),$I$12,"")</f>
      </c>
      <c r="H8" s="847" t="s">
        <v>696</v>
      </c>
      <c r="I8" s="544" t="s">
        <v>548</v>
      </c>
      <c r="J8" s="196"/>
      <c r="K8" s="623" t="s">
        <v>525</v>
      </c>
      <c r="L8" s="860">
        <f>IF('И21,И22-стационарные с вын. БД'!C26&gt;8,0.1*L7,0)</f>
        <v>0</v>
      </c>
      <c r="M8" s="868">
        <f>'И21,И22-стационарные с вын. БД'!K8</f>
      </c>
      <c r="N8" s="492">
        <f>IF(SUM('И21,И22-стационарные с вын. БД'!$C$7:$C$24)&gt;8,IF(OR('И21,И22-стационарные с вын. БД'!B8="O3",'И21,И22-стационарные с вын. БД'!B8="F2"),"--",VLOOKUP('И21,И22-стационарные с вын. БД'!B8,СГИ!$A$8:$G$27,IF(N$6=сообщения!I$3,3,4),TRUE)+VLOOKUP('И21,И22-стационарные с вын. БД'!B8,СГИ!$A$8:$G$27,2,TRUE)),VLOOKUP('И21,И22-стационарные с вын. БД'!B8,СГИ!$A$8:$G$27,IF(N$6=сообщения!I$3,3,4),TRUE))</f>
        <v>9330</v>
      </c>
      <c r="O8" s="493">
        <f>IF('И21,И22-стационарные с вын. БД'!M8&gt;0,VLOOKUP(M8,СГИ!$A$8:$G$27,IF(N$6=сообщения!I$3,5,6),TRUE),"")</f>
      </c>
      <c r="Q8" s="614">
        <f>IF(сообщения!M8="","",сообщения!M8)</f>
      </c>
      <c r="R8" s="587">
        <f>IF(IF(ISNA(INDEX(СГИ!$Q$3:$AJ$22,VLOOKUP($Q8,СГИ!$O$3:$P$22,2),HLOOKUP(R$6,СГИ!$Q$1:$AJ$2,2))),"",INDEX(СГИ!$Q$3:$AJ$22,VLOOKUP($Q8,СГИ!$O$3:$P$22,2),HLOOKUP(R$6,СГИ!$Q$1:$AJ$2,2)))=1,CONCATENATE("при измерении ",$Q8," ",R$6," не допускается ! "),"")</f>
      </c>
      <c r="S8" s="587">
        <f>IF(IF(ISNA(INDEX(СГИ!$Q$3:$AJ$22,VLOOKUP($Q8,СГИ!$O$3:$P$22,2),HLOOKUP(S$6,СГИ!$Q$1:$AJ$2,2))),"",INDEX(СГИ!$Q$3:$AJ$22,VLOOKUP($Q8,СГИ!$O$3:$P$22,2),HLOOKUP(S$6,СГИ!$Q$1:$AJ$2,2)))=1,CONCATENATE("при измерении ",$Q8," ",S$6," не допускается ! "),"")</f>
      </c>
      <c r="T8" s="587">
        <f>IF(IF(ISNA(INDEX(СГИ!$Q$3:$AJ$22,VLOOKUP($Q8,СГИ!$O$3:$P$22,2),HLOOKUP(T$6,СГИ!$Q$1:$AJ$2,2))),"",INDEX(СГИ!$Q$3:$AJ$22,VLOOKUP($Q8,СГИ!$O$3:$P$22,2),HLOOKUP(T$6,СГИ!$Q$1:$AJ$2,2)))=1,CONCATENATE("при измерении ",$Q8," ",T$6," не допускается ! "),"")</f>
      </c>
      <c r="U8" s="587">
        <f>IF(IF(ISNA(INDEX(СГИ!$Q$3:$AJ$22,VLOOKUP($Q8,СГИ!$O$3:$P$22,2),HLOOKUP(U$6,СГИ!$Q$1:$AJ$2,2))),"",INDEX(СГИ!$Q$3:$AJ$22,VLOOKUP($Q8,СГИ!$O$3:$P$22,2),HLOOKUP(U$6,СГИ!$Q$1:$AJ$2,2)))=1,CONCATENATE("при измерении ",$Q8," ",U$6," не допускается ! "),"")</f>
      </c>
      <c r="V8" s="587">
        <f>IF(IF(ISNA(INDEX(СГИ!$Q$3:$AJ$22,VLOOKUP($Q8,СГИ!$O$3:$P$22,2),HLOOKUP(V$6,СГИ!$Q$1:$AJ$2,2))),"",INDEX(СГИ!$Q$3:$AJ$22,VLOOKUP($Q8,СГИ!$O$3:$P$22,2),HLOOKUP(V$6,СГИ!$Q$1:$AJ$2,2)))=1,CONCATENATE("при измерении ",$Q8," ",V$6," не допускается ! "),"")</f>
      </c>
      <c r="W8" s="587">
        <f>IF(IF(ISNA(INDEX(СГИ!$Q$3:$AJ$22,VLOOKUP($Q8,СГИ!$O$3:$P$22,2),HLOOKUP(W$6,СГИ!$Q$1:$AJ$2,2))),"",INDEX(СГИ!$Q$3:$AJ$22,VLOOKUP($Q8,СГИ!$O$3:$P$22,2),HLOOKUP(W$6,СГИ!$Q$1:$AJ$2,2)))=1,CONCATENATE("при измерении ",$Q8," ",W$6," не допускается ! "),"")</f>
      </c>
      <c r="X8" s="587">
        <f>IF(IF(ISNA(INDEX(СГИ!$Q$3:$AJ$22,VLOOKUP($Q8,СГИ!$O$3:$P$22,2),HLOOKUP(X$6,СГИ!$Q$1:$AJ$2,2))),"",INDEX(СГИ!$Q$3:$AJ$22,VLOOKUP($Q8,СГИ!$O$3:$P$22,2),HLOOKUP(X$6,СГИ!$Q$1:$AJ$2,2)))=1,CONCATENATE("при измерении ",$Q8," ",X$6," не допускается ! "),"")</f>
      </c>
      <c r="Y8" s="587">
        <f>IF(IF(ISNA(INDEX(СГИ!$Q$3:$AJ$22,VLOOKUP($Q8,СГИ!$O$3:$P$22,2),HLOOKUP(Y$6,СГИ!$Q$1:$AJ$2,2))),"",INDEX(СГИ!$Q$3:$AJ$22,VLOOKUP($Q8,СГИ!$O$3:$P$22,2),HLOOKUP(Y$6,СГИ!$Q$1:$AJ$2,2)))=1,CONCATENATE("при измерении ",$Q8," ",Y$6," не допускается ! "),"")</f>
      </c>
      <c r="Z8" s="587">
        <f>IF(IF(ISNA(INDEX(СГИ!$Q$3:$AJ$22,VLOOKUP($Q8,СГИ!$O$3:$P$22,2),HLOOKUP(Z$6,СГИ!$Q$1:$AJ$2,2))),"",INDEX(СГИ!$Q$3:$AJ$22,VLOOKUP($Q8,СГИ!$O$3:$P$22,2),HLOOKUP(Z$6,СГИ!$Q$1:$AJ$2,2)))=1,CONCATENATE("при измерении ",$Q8," ",Z$6," не допускается ! "),"")</f>
      </c>
      <c r="AA8" s="587">
        <f>IF(IF(ISNA(INDEX(СГИ!$Q$3:$AJ$22,VLOOKUP($Q8,СГИ!$O$3:$P$22,2),HLOOKUP(AA$6,СГИ!$Q$1:$AJ$2,2))),"",INDEX(СГИ!$Q$3:$AJ$22,VLOOKUP($Q8,СГИ!$O$3:$P$22,2),HLOOKUP(AA$6,СГИ!$Q$1:$AJ$2,2)))=1,CONCATENATE("при измерении ",$Q8," ",AA$6," не допускается ! "),"")</f>
      </c>
      <c r="AB8" s="587">
        <f>IF(IF(ISNA(INDEX(СГИ!$Q$3:$AJ$22,VLOOKUP($Q8,СГИ!$O$3:$P$22,2),HLOOKUP(AB$6,СГИ!$Q$1:$AJ$2,2))),"",INDEX(СГИ!$Q$3:$AJ$22,VLOOKUP($Q8,СГИ!$O$3:$P$22,2),HLOOKUP(AB$6,СГИ!$Q$1:$AJ$2,2)))=1,CONCATENATE("при измерении ",$Q8," ",AB$6," не допускается ! "),"")</f>
      </c>
      <c r="AC8" s="587">
        <f>IF(IF(ISNA(INDEX(СГИ!$Q$3:$AJ$22,VLOOKUP($Q8,СГИ!$O$3:$P$22,2),HLOOKUP(AC$6,СГИ!$Q$1:$AJ$2,2))),"",INDEX(СГИ!$Q$3:$AJ$22,VLOOKUP($Q8,СГИ!$O$3:$P$22,2),HLOOKUP(AC$6,СГИ!$Q$1:$AJ$2,2)))=1,CONCATENATE("при измерении ",$Q8," ",AC$6," не допускается ! "),"")</f>
      </c>
      <c r="AD8" s="587">
        <f>IF(IF(ISNA(INDEX(СГИ!$Q$3:$AJ$22,VLOOKUP($Q8,СГИ!$O$3:$P$22,2),HLOOKUP(AD$6,СГИ!$Q$1:$AJ$2,2))),"",INDEX(СГИ!$Q$3:$AJ$22,VLOOKUP($Q8,СГИ!$O$3:$P$22,2),HLOOKUP(AD$6,СГИ!$Q$1:$AJ$2,2)))=1,CONCATENATE("при измерении ",$Q8," ",AD$6," не допускается ! "),"")</f>
      </c>
      <c r="AE8" s="587">
        <f>IF(IF(ISNA(INDEX(СГИ!$Q$3:$AJ$22,VLOOKUP($Q8,СГИ!$O$3:$P$22,2),HLOOKUP(AE$6,СГИ!$Q$1:$AJ$2,2))),"",INDEX(СГИ!$Q$3:$AJ$22,VLOOKUP($Q8,СГИ!$O$3:$P$22,2),HLOOKUP(AE$6,СГИ!$Q$1:$AJ$2,2)))=1,CONCATENATE("при измерении ",$Q8," ",AE$6," не допускается ! "),"")</f>
      </c>
      <c r="AF8" s="587">
        <f>IF(IF(ISNA(INDEX(СГИ!$Q$3:$AJ$22,VLOOKUP($Q8,СГИ!$O$3:$P$22,2),HLOOKUP(AF$6,СГИ!$Q$1:$AJ$2,2))),"",INDEX(СГИ!$Q$3:$AJ$22,VLOOKUP($Q8,СГИ!$O$3:$P$22,2),HLOOKUP(AF$6,СГИ!$Q$1:$AJ$2,2)))=1,CONCATENATE("при измерении ",$Q8," ",AF$6," не допускается ! "),"")</f>
      </c>
      <c r="AG8" s="587">
        <f>IF(IF(ISNA(INDEX(СГИ!$Q$3:$AJ$22,VLOOKUP($Q8,СГИ!$O$3:$P$22,2),HLOOKUP(AG$6,СГИ!$Q$1:$AJ$2,2))),"",INDEX(СГИ!$Q$3:$AJ$22,VLOOKUP($Q8,СГИ!$O$3:$P$22,2),HLOOKUP(AG$6,СГИ!$Q$1:$AJ$2,2)))=1,CONCATENATE("при измерении ",$Q8," ",AG$6," не допускается ! "),"")</f>
      </c>
      <c r="AH8" s="587">
        <f>IF(IF(ISNA(INDEX(СГИ!$Q$3:$AJ$22,VLOOKUP($Q8,СГИ!$O$3:$P$22,2),HLOOKUP(AH$6,СГИ!$Q$1:$AJ$2,2))),"",INDEX(СГИ!$Q$3:$AJ$22,VLOOKUP($Q8,СГИ!$O$3:$P$22,2),HLOOKUP(AH$6,СГИ!$Q$1:$AJ$2,2)))=1,CONCATENATE("при измерении ",$Q8," ",AH$6," не допускается ! "),"")</f>
      </c>
      <c r="AI8" s="615">
        <f>IF(IF(ISNA(INDEX(СГИ!$Q$3:$AJ$22,VLOOKUP($Q8,СГИ!$O$3:$P$22,2),HLOOKUP(AI$6,СГИ!$Q$1:$AJ$2,2))),"",INDEX(СГИ!$Q$3:$AJ$22,VLOOKUP($Q8,СГИ!$O$3:$P$22,2),HLOOKUP(AI$6,СГИ!$Q$1:$AJ$2,2)))=1,CONCATENATE("при измерении ",$Q8," ",AI$6," не допускается ! "),"")</f>
      </c>
      <c r="AJ8" s="1">
        <f t="shared" si="0"/>
      </c>
      <c r="AL8" s="807" t="s">
        <v>618</v>
      </c>
      <c r="AM8" s="1" t="s">
        <v>620</v>
      </c>
    </row>
    <row r="9" spans="1:39" ht="33" customHeight="1" thickBot="1">
      <c r="A9" s="575">
        <f>IF('И21,И22-стационарные с вын. БД'!I2=сообщения!I2,CONCATENATE('И21,И22-стационарные с вын. БД'!L7,'И21,И22-стационарные с вын. БД'!L8,'И21,И22-стационарные с вын. БД'!L9,'И21,И22-стационарные с вын. БД'!L10,'И21,И22-стационарные с вын. БД'!L11,'И21,И22-стационарные с вын. БД'!L12,'И21,И22-стационарные с вын. БД'!L13),"")</f>
      </c>
      <c r="B9" s="512" t="s">
        <v>575</v>
      </c>
      <c r="C9" s="575">
        <f>IF(E3=I12,I12,"")</f>
      </c>
      <c r="D9" s="826" t="s">
        <v>687</v>
      </c>
      <c r="G9" s="575">
        <f>IF(AND('И21,И22-стационарные с вын. БД'!P$13=1,OR('И21,И22-стационарные с вын. БД'!P$6=1,SUM('И21,И22-стационарные с вын. БД'!E$7:E$24)&gt;0)),$I$12,"")</f>
      </c>
      <c r="H9" s="847" t="s">
        <v>697</v>
      </c>
      <c r="I9" s="544" t="s">
        <v>550</v>
      </c>
      <c r="J9" s="196"/>
      <c r="K9" s="623" t="s">
        <v>578</v>
      </c>
      <c r="L9" s="860">
        <f>IF(AND(NOT('И21,И22-стационарные с вын. БД'!P6=1),'И21,И22-стационарные с вын. БД'!C26=1,'И21,И22-стационарные с вын. БД'!C7+'И21,И22-стационарные с вын. БД'!C16+'И21,И22-стационарные с вын. БД'!C18+'И21,И22-стационарные с вын. БД'!C19=1),0.1*L7,0)</f>
        <v>0</v>
      </c>
      <c r="M9" s="868">
        <f>'И21,И22-стационарные с вын. БД'!K9</f>
      </c>
      <c r="N9" s="492">
        <f>IF(SUM('И21,И22-стационарные с вын. БД'!$C$7:$C$24)&gt;8,IF(OR('И21,И22-стационарные с вын. БД'!B9="O3",'И21,И22-стационарные с вын. БД'!B9="F2"),"--",VLOOKUP('И21,И22-стационарные с вын. БД'!B9,СГИ!$A$8:$G$27,IF(N$6=сообщения!I$3,3,4),TRUE)+VLOOKUP('И21,И22-стационарные с вын. БД'!B9,СГИ!$A$8:$G$27,2,TRUE)),VLOOKUP('И21,И22-стационарные с вын. БД'!B9,СГИ!$A$8:$G$27,IF(N$6=сообщения!I$3,3,4),TRUE))</f>
        <v>9330</v>
      </c>
      <c r="O9" s="493">
        <f>IF('И21,И22-стационарные с вын. БД'!M9&gt;0,VLOOKUP(M9,СГИ!$A$8:$G$27,IF(N$6=сообщения!I$3,5,6),TRUE),"")</f>
      </c>
      <c r="Q9" s="614">
        <f>IF(сообщения!M9="","","CO горюч.")</f>
      </c>
      <c r="R9" s="587">
        <f>IF(IF(ISNA(INDEX(СГИ!$Q$3:$AJ$22,VLOOKUP($Q9,СГИ!$O$3:$P$22,2),HLOOKUP(R$6,СГИ!$Q$1:$AJ$2,2))),"",INDEX(СГИ!$Q$3:$AJ$22,VLOOKUP($Q9,СГИ!$O$3:$P$22,2),HLOOKUP(R$6,СГИ!$Q$1:$AJ$2,2)))=1,CONCATENATE("при измерении ",$Q9," ",R$6," не допускается ! "),"")</f>
      </c>
      <c r="S9" s="587">
        <f>IF(IF(ISNA(INDEX(СГИ!$Q$3:$AJ$22,VLOOKUP($Q9,СГИ!$O$3:$P$22,2),HLOOKUP(S$6,СГИ!$Q$1:$AJ$2,2))),"",INDEX(СГИ!$Q$3:$AJ$22,VLOOKUP($Q9,СГИ!$O$3:$P$22,2),HLOOKUP(S$6,СГИ!$Q$1:$AJ$2,2)))=1,CONCATENATE("при измерении ",$Q9," ",S$6," не допускается ! "),"")</f>
      </c>
      <c r="T9" s="587">
        <f>IF(IF(ISNA(INDEX(СГИ!$Q$3:$AJ$22,VLOOKUP($Q9,СГИ!$O$3:$P$22,2),HLOOKUP(T$6,СГИ!$Q$1:$AJ$2,2))),"",INDEX(СГИ!$Q$3:$AJ$22,VLOOKUP($Q9,СГИ!$O$3:$P$22,2),HLOOKUP(T$6,СГИ!$Q$1:$AJ$2,2)))=1,CONCATENATE("при измерении ",$Q9," ",T$6," не допускается ! "),"")</f>
      </c>
      <c r="U9" s="587">
        <f>IF(IF(ISNA(INDEX(СГИ!$Q$3:$AJ$22,VLOOKUP($Q9,СГИ!$O$3:$P$22,2),HLOOKUP(U$6,СГИ!$Q$1:$AJ$2,2))),"",INDEX(СГИ!$Q$3:$AJ$22,VLOOKUP($Q9,СГИ!$O$3:$P$22,2),HLOOKUP(U$6,СГИ!$Q$1:$AJ$2,2)))=1,CONCATENATE("при измерении ",$Q9," ",U$6," не допускается ! "),"")</f>
      </c>
      <c r="V9" s="587">
        <f>IF(IF(ISNA(INDEX(СГИ!$Q$3:$AJ$22,VLOOKUP($Q9,СГИ!$O$3:$P$22,2),HLOOKUP(V$6,СГИ!$Q$1:$AJ$2,2))),"",INDEX(СГИ!$Q$3:$AJ$22,VLOOKUP($Q9,СГИ!$O$3:$P$22,2),HLOOKUP(V$6,СГИ!$Q$1:$AJ$2,2)))=1,CONCATENATE("при измерении ",$Q9," ",V$6," не допускается ! "),"")</f>
      </c>
      <c r="W9" s="587">
        <f>IF(IF(ISNA(INDEX(СГИ!$Q$3:$AJ$22,VLOOKUP($Q9,СГИ!$O$3:$P$22,2),HLOOKUP(W$6,СГИ!$Q$1:$AJ$2,2))),"",INDEX(СГИ!$Q$3:$AJ$22,VLOOKUP($Q9,СГИ!$O$3:$P$22,2),HLOOKUP(W$6,СГИ!$Q$1:$AJ$2,2)))=1,CONCATENATE("при измерении ",$Q9," ",W$6," не допускается ! "),"")</f>
      </c>
      <c r="X9" s="587">
        <f>IF(IF(ISNA(INDEX(СГИ!$Q$3:$AJ$22,VLOOKUP($Q9,СГИ!$O$3:$P$22,2),HLOOKUP(X$6,СГИ!$Q$1:$AJ$2,2))),"",INDEX(СГИ!$Q$3:$AJ$22,VLOOKUP($Q9,СГИ!$O$3:$P$22,2),HLOOKUP(X$6,СГИ!$Q$1:$AJ$2,2)))=1,CONCATENATE("при измерении ",$Q9," ",X$6," не допускается ! "),"")</f>
      </c>
      <c r="Y9" s="587">
        <f>IF(IF(ISNA(INDEX(СГИ!$Q$3:$AJ$22,VLOOKUP($Q9,СГИ!$O$3:$P$22,2),HLOOKUP(Y$6,СГИ!$Q$1:$AJ$2,2))),"",INDEX(СГИ!$Q$3:$AJ$22,VLOOKUP($Q9,СГИ!$O$3:$P$22,2),HLOOKUP(Y$6,СГИ!$Q$1:$AJ$2,2)))=1,CONCATENATE("при измерении ",$Q9," ",Y$6," не допускается ! "),"")</f>
      </c>
      <c r="Z9" s="587">
        <f>IF(IF(ISNA(INDEX(СГИ!$Q$3:$AJ$22,VLOOKUP($Q9,СГИ!$O$3:$P$22,2),HLOOKUP(Z$6,СГИ!$Q$1:$AJ$2,2))),"",INDEX(СГИ!$Q$3:$AJ$22,VLOOKUP($Q9,СГИ!$O$3:$P$22,2),HLOOKUP(Z$6,СГИ!$Q$1:$AJ$2,2)))=1,CONCATENATE("при измерении ",$Q9," ",Z$6," не допускается ! "),"")</f>
      </c>
      <c r="AA9" s="587">
        <f>IF(IF(ISNA(INDEX(СГИ!$Q$3:$AJ$22,VLOOKUP($Q9,СГИ!$O$3:$P$22,2),HLOOKUP(AA$6,СГИ!$Q$1:$AJ$2,2))),"",INDEX(СГИ!$Q$3:$AJ$22,VLOOKUP($Q9,СГИ!$O$3:$P$22,2),HLOOKUP(AA$6,СГИ!$Q$1:$AJ$2,2)))=1,CONCATENATE("при измерении ",$Q9," ",AA$6," не допускается ! "),"")</f>
      </c>
      <c r="AB9" s="587">
        <f>IF(IF(ISNA(INDEX(СГИ!$Q$3:$AJ$22,VLOOKUP($Q9,СГИ!$O$3:$P$22,2),HLOOKUP(AB$6,СГИ!$Q$1:$AJ$2,2))),"",INDEX(СГИ!$Q$3:$AJ$22,VLOOKUP($Q9,СГИ!$O$3:$P$22,2),HLOOKUP(AB$6,СГИ!$Q$1:$AJ$2,2)))=1,CONCATENATE("при измерении ",$Q9," ",AB$6," не допускается ! "),"")</f>
      </c>
      <c r="AC9" s="587">
        <f>IF(IF(ISNA(INDEX(СГИ!$Q$3:$AJ$22,VLOOKUP($Q9,СГИ!$O$3:$P$22,2),HLOOKUP(AC$6,СГИ!$Q$1:$AJ$2,2))),"",INDEX(СГИ!$Q$3:$AJ$22,VLOOKUP($Q9,СГИ!$O$3:$P$22,2),HLOOKUP(AC$6,СГИ!$Q$1:$AJ$2,2)))=1,CONCATENATE("при измерении ",$Q9," ",AC$6," не допускается ! "),"")</f>
      </c>
      <c r="AD9" s="587">
        <f>IF(IF(ISNA(INDEX(СГИ!$Q$3:$AJ$22,VLOOKUP($Q9,СГИ!$O$3:$P$22,2),HLOOKUP(AD$6,СГИ!$Q$1:$AJ$2,2))),"",INDEX(СГИ!$Q$3:$AJ$22,VLOOKUP($Q9,СГИ!$O$3:$P$22,2),HLOOKUP(AD$6,СГИ!$Q$1:$AJ$2,2)))=1,CONCATENATE("при измерении ",$Q9," ",AD$6," не допускается ! "),"")</f>
      </c>
      <c r="AE9" s="587">
        <f>IF(IF(ISNA(INDEX(СГИ!$Q$3:$AJ$22,VLOOKUP($Q9,СГИ!$O$3:$P$22,2),HLOOKUP(AE$6,СГИ!$Q$1:$AJ$2,2))),"",INDEX(СГИ!$Q$3:$AJ$22,VLOOKUP($Q9,СГИ!$O$3:$P$22,2),HLOOKUP(AE$6,СГИ!$Q$1:$AJ$2,2)))=1,CONCATENATE("при измерении ",$Q9," ",AE$6," не допускается ! "),"")</f>
      </c>
      <c r="AF9" s="587">
        <f>IF(IF(ISNA(INDEX(СГИ!$Q$3:$AJ$22,VLOOKUP($Q9,СГИ!$O$3:$P$22,2),HLOOKUP(AF$6,СГИ!$Q$1:$AJ$2,2))),"",INDEX(СГИ!$Q$3:$AJ$22,VLOOKUP($Q9,СГИ!$O$3:$P$22,2),HLOOKUP(AF$6,СГИ!$Q$1:$AJ$2,2)))=1,CONCATENATE("при измерении ",$Q9," ",AF$6," не допускается ! "),"")</f>
      </c>
      <c r="AG9" s="587">
        <f>IF(IF(ISNA(INDEX(СГИ!$Q$3:$AJ$22,VLOOKUP($Q9,СГИ!$O$3:$P$22,2),HLOOKUP(AG$6,СГИ!$Q$1:$AJ$2,2))),"",INDEX(СГИ!$Q$3:$AJ$22,VLOOKUP($Q9,СГИ!$O$3:$P$22,2),HLOOKUP(AG$6,СГИ!$Q$1:$AJ$2,2)))=1,CONCATENATE("при измерении ",$Q9," ",AG$6," не допускается ! "),"")</f>
      </c>
      <c r="AH9" s="587">
        <f>IF(IF(ISNA(INDEX(СГИ!$Q$3:$AJ$22,VLOOKUP($Q9,СГИ!$O$3:$P$22,2),HLOOKUP(AH$6,СГИ!$Q$1:$AJ$2,2))),"",INDEX(СГИ!$Q$3:$AJ$22,VLOOKUP($Q9,СГИ!$O$3:$P$22,2),HLOOKUP(AH$6,СГИ!$Q$1:$AJ$2,2)))=1,CONCATENATE("при измерении ",$Q9," ",AH$6," не допускается ! "),"")</f>
      </c>
      <c r="AI9" s="615">
        <f>IF(IF(ISNA(INDEX(СГИ!$Q$3:$AJ$22,VLOOKUP($Q9,СГИ!$O$3:$P$22,2),HLOOKUP(AI$6,СГИ!$Q$1:$AJ$2,2))),"",INDEX(СГИ!$Q$3:$AJ$22,VLOOKUP($Q9,СГИ!$O$3:$P$22,2),HLOOKUP(AI$6,СГИ!$Q$1:$AJ$2,2)))=1,CONCATENATE("при измерении ",$Q9," ",AI$6," не допускается ! "),"")</f>
      </c>
      <c r="AJ9" s="1">
        <f t="shared" si="0"/>
      </c>
      <c r="AL9" s="807" t="s">
        <v>857</v>
      </c>
      <c r="AM9" s="1" t="s">
        <v>855</v>
      </c>
    </row>
    <row r="10" spans="1:39" ht="33" customHeight="1" thickBot="1">
      <c r="A10" s="575" t="str">
        <f>IF('И21,И22-стационарные с вын. БД'!C$23+'И21,И22-стационарные с вын. БД'!C$24&gt;0,CONCATENATE("индикатор",'И21,И22-стационарные с вын. БД'!L$23,'И21,И22-стационарные с вын. БД'!L$24),IF('И21,И22-стационарные с вын. БД'!I$2="","",'И21,И22-стационарные с вын. БД'!I$2))</f>
        <v>Хоббит-Т</v>
      </c>
      <c r="B10" s="512" t="s">
        <v>647</v>
      </c>
      <c r="D10" s="826"/>
      <c r="G10" s="575">
        <f>IF(DCOUNTA('И21,И22-стационарные с вын. БД'!N$6:N$24,'И21,И22-стационарные с вын. БД'!N$6,I$17:I$18)=0,"",$I$12)</f>
      </c>
      <c r="H10" s="847" t="s">
        <v>698</v>
      </c>
      <c r="I10" s="544" t="s">
        <v>547</v>
      </c>
      <c r="J10" s="196"/>
      <c r="K10" s="852" t="s">
        <v>527</v>
      </c>
      <c r="L10" s="861">
        <f>ROUND(IF(SUM('И21,И22-стационарные с вын. БД'!N9:N12)&gt;0,0.05*SUM(L6:L9),0),-1)</f>
        <v>0</v>
      </c>
      <c r="M10" s="868">
        <f>'И21,И22-стационарные с вын. БД'!K10</f>
      </c>
      <c r="N10" s="492">
        <f>IF(SUM('И21,И22-стационарные с вын. БД'!$C$7:$C$24)&gt;8,IF(OR('И21,И22-стационарные с вын. БД'!B10="O3",'И21,И22-стационарные с вын. БД'!B10="F2"),"--",VLOOKUP('И21,И22-стационарные с вын. БД'!B10,СГИ!$A$8:$G$27,IF(N$6=сообщения!I$3,3,4),TRUE)+VLOOKUP('И21,И22-стационарные с вын. БД'!B10,СГИ!$A$8:$G$27,2,TRUE)),VLOOKUP('И21,И22-стационарные с вын. БД'!B10,СГИ!$A$8:$G$27,IF(N$6=сообщения!I$3,3,4),TRUE))</f>
        <v>7590</v>
      </c>
      <c r="O10" s="493">
        <f>IF('И21,И22-стационарные с вын. БД'!M10&gt;0,VLOOKUP(M10,СГИ!$A$8:$G$27,IF(N$6=сообщения!I$3,5,6),TRUE),"")</f>
      </c>
      <c r="Q10" s="614">
        <f>IF(сообщения!M10="","",сообщения!M10)</f>
      </c>
      <c r="R10" s="587">
        <f>IF(IF(ISNA(INDEX(СГИ!$Q$3:$AJ$22,VLOOKUP($Q10,СГИ!$O$3:$P$22,2),HLOOKUP(R$6,СГИ!$Q$1:$AJ$2,2))),"",INDEX(СГИ!$Q$3:$AJ$22,VLOOKUP($Q10,СГИ!$O$3:$P$22,2),HLOOKUP(R$6,СГИ!$Q$1:$AJ$2,2)))=1,CONCATENATE("при измерении ",$Q10," ",R$6," не допускается ! "),"")</f>
      </c>
      <c r="S10" s="587">
        <f>IF(IF(ISNA(INDEX(СГИ!$Q$3:$AJ$22,VLOOKUP($Q10,СГИ!$O$3:$P$22,2),HLOOKUP(S$6,СГИ!$Q$1:$AJ$2,2))),"",INDEX(СГИ!$Q$3:$AJ$22,VLOOKUP($Q10,СГИ!$O$3:$P$22,2),HLOOKUP(S$6,СГИ!$Q$1:$AJ$2,2)))=1,CONCATENATE("при измерении ",$Q10," ",S$6," не допускается ! "),"")</f>
      </c>
      <c r="T10" s="587">
        <f>IF(IF(ISNA(INDEX(СГИ!$Q$3:$AJ$22,VLOOKUP($Q10,СГИ!$O$3:$P$22,2),HLOOKUP(T$6,СГИ!$Q$1:$AJ$2,2))),"",INDEX(СГИ!$Q$3:$AJ$22,VLOOKUP($Q10,СГИ!$O$3:$P$22,2),HLOOKUP(T$6,СГИ!$Q$1:$AJ$2,2)))=1,CONCATENATE("при измерении ",$Q10," ",T$6," не допускается ! "),"")</f>
      </c>
      <c r="U10" s="587">
        <f>IF(IF(ISNA(INDEX(СГИ!$Q$3:$AJ$22,VLOOKUP($Q10,СГИ!$O$3:$P$22,2),HLOOKUP(U$6,СГИ!$Q$1:$AJ$2,2))),"",INDEX(СГИ!$Q$3:$AJ$22,VLOOKUP($Q10,СГИ!$O$3:$P$22,2),HLOOKUP(U$6,СГИ!$Q$1:$AJ$2,2)))=1,CONCATENATE("при измерении ",$Q10," ",U$6," не допускается ! "),"")</f>
      </c>
      <c r="V10" s="587">
        <f>IF(IF(ISNA(INDEX(СГИ!$Q$3:$AJ$22,VLOOKUP($Q10,СГИ!$O$3:$P$22,2),HLOOKUP(V$6,СГИ!$Q$1:$AJ$2,2))),"",INDEX(СГИ!$Q$3:$AJ$22,VLOOKUP($Q10,СГИ!$O$3:$P$22,2),HLOOKUP(V$6,СГИ!$Q$1:$AJ$2,2)))=1,CONCATENATE("при измерении ",$Q10," ",V$6," не допускается ! "),"")</f>
      </c>
      <c r="W10" s="587">
        <f>IF(IF(ISNA(INDEX(СГИ!$Q$3:$AJ$22,VLOOKUP($Q10,СГИ!$O$3:$P$22,2),HLOOKUP(W$6,СГИ!$Q$1:$AJ$2,2))),"",INDEX(СГИ!$Q$3:$AJ$22,VLOOKUP($Q10,СГИ!$O$3:$P$22,2),HLOOKUP(W$6,СГИ!$Q$1:$AJ$2,2)))=1,CONCATENATE("при измерении ",$Q10," ",W$6," не допускается ! "),"")</f>
      </c>
      <c r="X10" s="587">
        <f>IF(IF(ISNA(INDEX(СГИ!$Q$3:$AJ$22,VLOOKUP($Q10,СГИ!$O$3:$P$22,2),HLOOKUP(X$6,СГИ!$Q$1:$AJ$2,2))),"",INDEX(СГИ!$Q$3:$AJ$22,VLOOKUP($Q10,СГИ!$O$3:$P$22,2),HLOOKUP(X$6,СГИ!$Q$1:$AJ$2,2)))=1,CONCATENATE("при измерении ",$Q10," ",X$6," не допускается ! "),"")</f>
      </c>
      <c r="Y10" s="587">
        <f>IF(IF(ISNA(INDEX(СГИ!$Q$3:$AJ$22,VLOOKUP($Q10,СГИ!$O$3:$P$22,2),HLOOKUP(Y$6,СГИ!$Q$1:$AJ$2,2))),"",INDEX(СГИ!$Q$3:$AJ$22,VLOOKUP($Q10,СГИ!$O$3:$P$22,2),HLOOKUP(Y$6,СГИ!$Q$1:$AJ$2,2)))=1,CONCATENATE("при измерении ",$Q10," ",Y$6," не допускается ! "),"")</f>
      </c>
      <c r="Z10" s="587">
        <f>IF(IF(ISNA(INDEX(СГИ!$Q$3:$AJ$22,VLOOKUP($Q10,СГИ!$O$3:$P$22,2),HLOOKUP(Z$6,СГИ!$Q$1:$AJ$2,2))),"",INDEX(СГИ!$Q$3:$AJ$22,VLOOKUP($Q10,СГИ!$O$3:$P$22,2),HLOOKUP(Z$6,СГИ!$Q$1:$AJ$2,2)))=1,CONCATENATE("при измерении ",$Q10," ",Z$6," не допускается ! "),"")</f>
      </c>
      <c r="AA10" s="587">
        <f>IF(IF(ISNA(INDEX(СГИ!$Q$3:$AJ$22,VLOOKUP($Q10,СГИ!$O$3:$P$22,2),HLOOKUP(AA$6,СГИ!$Q$1:$AJ$2,2))),"",INDEX(СГИ!$Q$3:$AJ$22,VLOOKUP($Q10,СГИ!$O$3:$P$22,2),HLOOKUP(AA$6,СГИ!$Q$1:$AJ$2,2)))=1,CONCATENATE("при измерении ",$Q10," ",AA$6," не допускается ! "),"")</f>
      </c>
      <c r="AB10" s="587">
        <f>IF(IF(ISNA(INDEX(СГИ!$Q$3:$AJ$22,VLOOKUP($Q10,СГИ!$O$3:$P$22,2),HLOOKUP(AB$6,СГИ!$Q$1:$AJ$2,2))),"",INDEX(СГИ!$Q$3:$AJ$22,VLOOKUP($Q10,СГИ!$O$3:$P$22,2),HLOOKUP(AB$6,СГИ!$Q$1:$AJ$2,2)))=1,CONCATENATE("при измерении ",$Q10," ",AB$6," не допускается ! "),"")</f>
      </c>
      <c r="AC10" s="587">
        <f>IF(IF(ISNA(INDEX(СГИ!$Q$3:$AJ$22,VLOOKUP($Q10,СГИ!$O$3:$P$22,2),HLOOKUP(AC$6,СГИ!$Q$1:$AJ$2,2))),"",INDEX(СГИ!$Q$3:$AJ$22,VLOOKUP($Q10,СГИ!$O$3:$P$22,2),HLOOKUP(AC$6,СГИ!$Q$1:$AJ$2,2)))=1,CONCATENATE("при измерении ",$Q10," ",AC$6," не допускается ! "),"")</f>
      </c>
      <c r="AD10" s="587">
        <f>IF(IF(ISNA(INDEX(СГИ!$Q$3:$AJ$22,VLOOKUP($Q10,СГИ!$O$3:$P$22,2),HLOOKUP(AD$6,СГИ!$Q$1:$AJ$2,2))),"",INDEX(СГИ!$Q$3:$AJ$22,VLOOKUP($Q10,СГИ!$O$3:$P$22,2),HLOOKUP(AD$6,СГИ!$Q$1:$AJ$2,2)))=1,CONCATENATE("при измерении ",$Q10," ",AD$6," не допускается ! "),"")</f>
      </c>
      <c r="AE10" s="587">
        <f>IF(IF(ISNA(INDEX(СГИ!$Q$3:$AJ$22,VLOOKUP($Q10,СГИ!$O$3:$P$22,2),HLOOKUP(AE$6,СГИ!$Q$1:$AJ$2,2))),"",INDEX(СГИ!$Q$3:$AJ$22,VLOOKUP($Q10,СГИ!$O$3:$P$22,2),HLOOKUP(AE$6,СГИ!$Q$1:$AJ$2,2)))=1,CONCATENATE("при измерении ",$Q10," ",AE$6," не допускается ! "),"")</f>
      </c>
      <c r="AF10" s="587">
        <f>IF(IF(ISNA(INDEX(СГИ!$Q$3:$AJ$22,VLOOKUP($Q10,СГИ!$O$3:$P$22,2),HLOOKUP(AF$6,СГИ!$Q$1:$AJ$2,2))),"",INDEX(СГИ!$Q$3:$AJ$22,VLOOKUP($Q10,СГИ!$O$3:$P$22,2),HLOOKUP(AF$6,СГИ!$Q$1:$AJ$2,2)))=1,CONCATENATE("при измерении ",$Q10," ",AF$6," не допускается ! "),"")</f>
      </c>
      <c r="AG10" s="587">
        <f>IF(IF(ISNA(INDEX(СГИ!$Q$3:$AJ$22,VLOOKUP($Q10,СГИ!$O$3:$P$22,2),HLOOKUP(AG$6,СГИ!$Q$1:$AJ$2,2))),"",INDEX(СГИ!$Q$3:$AJ$22,VLOOKUP($Q10,СГИ!$O$3:$P$22,2),HLOOKUP(AG$6,СГИ!$Q$1:$AJ$2,2)))=1,CONCATENATE("при измерении ",$Q10," ",AG$6," не допускается ! "),"")</f>
      </c>
      <c r="AH10" s="587">
        <f>IF(IF(ISNA(INDEX(СГИ!$Q$3:$AJ$22,VLOOKUP($Q10,СГИ!$O$3:$P$22,2),HLOOKUP(AH$6,СГИ!$Q$1:$AJ$2,2))),"",INDEX(СГИ!$Q$3:$AJ$22,VLOOKUP($Q10,СГИ!$O$3:$P$22,2),HLOOKUP(AH$6,СГИ!$Q$1:$AJ$2,2)))=1,CONCATENATE("при измерении ",$Q10," ",AH$6," не допускается ! "),"")</f>
      </c>
      <c r="AI10" s="615">
        <f>IF(IF(ISNA(INDEX(СГИ!$Q$3:$AJ$22,VLOOKUP($Q10,СГИ!$O$3:$P$22,2),HLOOKUP(AI$6,СГИ!$Q$1:$AJ$2,2))),"",INDEX(СГИ!$Q$3:$AJ$22,VLOOKUP($Q10,СГИ!$O$3:$P$22,2),HLOOKUP(AI$6,СГИ!$Q$1:$AJ$2,2)))=1,CONCATENATE("при измерении ",$Q10," ",AI$6," не допускается ! "),"")</f>
      </c>
      <c r="AJ10" s="1">
        <f t="shared" si="0"/>
      </c>
      <c r="AL10" s="807" t="s">
        <v>790</v>
      </c>
      <c r="AM10" s="918" t="s">
        <v>791</v>
      </c>
    </row>
    <row r="11" spans="9:39" ht="33" customHeight="1" thickBot="1">
      <c r="I11" s="544" t="s">
        <v>593</v>
      </c>
      <c r="J11" s="1"/>
      <c r="K11" s="852" t="s">
        <v>339</v>
      </c>
      <c r="L11" s="861">
        <f>IF(NOT('И21,И22-стационарные с вын. БД'!I8="взрывозащита НЕ предусмотрена"),СГИ!$D$29*SUM('И21,И22-стационарные с вын. БД'!N7:N24)+СГИ!$D$30*ROUNDUP(SUM('И21,И22-стационарные с вын. БД'!N7:N24)/4,0),0)</f>
        <v>0</v>
      </c>
      <c r="M11" s="868">
        <f>'И21,И22-стационарные с вын. БД'!K11</f>
      </c>
      <c r="N11" s="492">
        <f>IF(SUM('И21,И22-стационарные с вын. БД'!$C$7:$C$24)&gt;8,IF(OR('И21,И22-стационарные с вын. БД'!B11="O3",'И21,И22-стационарные с вын. БД'!B11="F2"),"--",VLOOKUP('И21,И22-стационарные с вын. БД'!B11,СГИ!$A$8:$G$27,IF(N$6=сообщения!I$3,3,4),TRUE)+VLOOKUP('И21,И22-стационарные с вын. БД'!B11,СГИ!$A$8:$G$27,2,TRUE)),VLOOKUP('И21,И22-стационарные с вын. БД'!B11,СГИ!$A$8:$G$27,IF(N$6=сообщения!I$3,3,4),TRUE))</f>
        <v>9330</v>
      </c>
      <c r="O11" s="493">
        <f>IF('И21,И22-стационарные с вын. БД'!M11&gt;0,VLOOKUP(M11,СГИ!$A$8:$G$27,IF(N$6=сообщения!I$3,5,6),TRUE),"")</f>
      </c>
      <c r="Q11" s="614">
        <f>IF(сообщения!M11="","",сообщения!M11)</f>
      </c>
      <c r="R11" s="587">
        <f>IF(IF(ISNA(INDEX(СГИ!$Q$3:$AJ$22,VLOOKUP($Q11,СГИ!$O$3:$P$22,2),HLOOKUP(R$6,СГИ!$Q$1:$AJ$2,2))),"",INDEX(СГИ!$Q$3:$AJ$22,VLOOKUP($Q11,СГИ!$O$3:$P$22,2),HLOOKUP(R$6,СГИ!$Q$1:$AJ$2,2)))=1,CONCATENATE("при измерении ",$Q11," ",R$6," не допускается ! "),"")</f>
      </c>
      <c r="S11" s="587">
        <f>IF(IF(ISNA(INDEX(СГИ!$Q$3:$AJ$22,VLOOKUP($Q11,СГИ!$O$3:$P$22,2),HLOOKUP(S$6,СГИ!$Q$1:$AJ$2,2))),"",INDEX(СГИ!$Q$3:$AJ$22,VLOOKUP($Q11,СГИ!$O$3:$P$22,2),HLOOKUP(S$6,СГИ!$Q$1:$AJ$2,2)))=1,CONCATENATE("при измерении ",$Q11," ",S$6," не допускается ! "),"")</f>
      </c>
      <c r="T11" s="587">
        <f>IF(IF(ISNA(INDEX(СГИ!$Q$3:$AJ$22,VLOOKUP($Q11,СГИ!$O$3:$P$22,2),HLOOKUP(T$6,СГИ!$Q$1:$AJ$2,2))),"",INDEX(СГИ!$Q$3:$AJ$22,VLOOKUP($Q11,СГИ!$O$3:$P$22,2),HLOOKUP(T$6,СГИ!$Q$1:$AJ$2,2)))=1,CONCATENATE("при измерении ",$Q11," ",T$6," не допускается ! "),"")</f>
      </c>
      <c r="U11" s="587">
        <f>IF(IF(ISNA(INDEX(СГИ!$Q$3:$AJ$22,VLOOKUP($Q11,СГИ!$O$3:$P$22,2),HLOOKUP(U$6,СГИ!$Q$1:$AJ$2,2))),"",INDEX(СГИ!$Q$3:$AJ$22,VLOOKUP($Q11,СГИ!$O$3:$P$22,2),HLOOKUP(U$6,СГИ!$Q$1:$AJ$2,2)))=1,CONCATENATE("при измерении ",$Q11," ",U$6," не допускается ! "),"")</f>
      </c>
      <c r="V11" s="587">
        <f>IF(IF(ISNA(INDEX(СГИ!$Q$3:$AJ$22,VLOOKUP($Q11,СГИ!$O$3:$P$22,2),HLOOKUP(V$6,СГИ!$Q$1:$AJ$2,2))),"",INDEX(СГИ!$Q$3:$AJ$22,VLOOKUP($Q11,СГИ!$O$3:$P$22,2),HLOOKUP(V$6,СГИ!$Q$1:$AJ$2,2)))=1,CONCATENATE("при измерении ",$Q11," ",V$6," не допускается ! "),"")</f>
      </c>
      <c r="W11" s="587">
        <f>IF(IF(ISNA(INDEX(СГИ!$Q$3:$AJ$22,VLOOKUP($Q11,СГИ!$O$3:$P$22,2),HLOOKUP(W$6,СГИ!$Q$1:$AJ$2,2))),"",INDEX(СГИ!$Q$3:$AJ$22,VLOOKUP($Q11,СГИ!$O$3:$P$22,2),HLOOKUP(W$6,СГИ!$Q$1:$AJ$2,2)))=1,CONCATENATE("при измерении ",$Q11," ",W$6," не допускается ! "),"")</f>
      </c>
      <c r="X11" s="587">
        <f>IF(IF(ISNA(INDEX(СГИ!$Q$3:$AJ$22,VLOOKUP($Q11,СГИ!$O$3:$P$22,2),HLOOKUP(X$6,СГИ!$Q$1:$AJ$2,2))),"",INDEX(СГИ!$Q$3:$AJ$22,VLOOKUP($Q11,СГИ!$O$3:$P$22,2),HLOOKUP(X$6,СГИ!$Q$1:$AJ$2,2)))=1,CONCATENATE("при измерении ",$Q11," ",X$6," не допускается ! "),"")</f>
      </c>
      <c r="Y11" s="587">
        <f>IF(IF(ISNA(INDEX(СГИ!$Q$3:$AJ$22,VLOOKUP($Q11,СГИ!$O$3:$P$22,2),HLOOKUP(Y$6,СГИ!$Q$1:$AJ$2,2))),"",INDEX(СГИ!$Q$3:$AJ$22,VLOOKUP($Q11,СГИ!$O$3:$P$22,2),HLOOKUP(Y$6,СГИ!$Q$1:$AJ$2,2)))=1,CONCATENATE("при измерении ",$Q11," ",Y$6," не допускается ! "),"")</f>
      </c>
      <c r="Z11" s="587">
        <f>IF(IF(ISNA(INDEX(СГИ!$Q$3:$AJ$22,VLOOKUP($Q11,СГИ!$O$3:$P$22,2),HLOOKUP(Z$6,СГИ!$Q$1:$AJ$2,2))),"",INDEX(СГИ!$Q$3:$AJ$22,VLOOKUP($Q11,СГИ!$O$3:$P$22,2),HLOOKUP(Z$6,СГИ!$Q$1:$AJ$2,2)))=1,CONCATENATE("при измерении ",$Q11," ",Z$6," не допускается ! "),"")</f>
      </c>
      <c r="AA11" s="587">
        <f>IF(IF(ISNA(INDEX(СГИ!$Q$3:$AJ$22,VLOOKUP($Q11,СГИ!$O$3:$P$22,2),HLOOKUP(AA$6,СГИ!$Q$1:$AJ$2,2))),"",INDEX(СГИ!$Q$3:$AJ$22,VLOOKUP($Q11,СГИ!$O$3:$P$22,2),HLOOKUP(AA$6,СГИ!$Q$1:$AJ$2,2)))=1,CONCATENATE("при измерении ",$Q11," ",AA$6," не допускается ! "),"")</f>
      </c>
      <c r="AB11" s="587">
        <f>IF(IF(ISNA(INDEX(СГИ!$Q$3:$AJ$22,VLOOKUP($Q11,СГИ!$O$3:$P$22,2),HLOOKUP(AB$6,СГИ!$Q$1:$AJ$2,2))),"",INDEX(СГИ!$Q$3:$AJ$22,VLOOKUP($Q11,СГИ!$O$3:$P$22,2),HLOOKUP(AB$6,СГИ!$Q$1:$AJ$2,2)))=1,CONCATENATE("при измерении ",$Q11," ",AB$6," не допускается ! "),"")</f>
      </c>
      <c r="AC11" s="587">
        <f>IF(IF(ISNA(INDEX(СГИ!$Q$3:$AJ$22,VLOOKUP($Q11,СГИ!$O$3:$P$22,2),HLOOKUP(AC$6,СГИ!$Q$1:$AJ$2,2))),"",INDEX(СГИ!$Q$3:$AJ$22,VLOOKUP($Q11,СГИ!$O$3:$P$22,2),HLOOKUP(AC$6,СГИ!$Q$1:$AJ$2,2)))=1,CONCATENATE("при измерении ",$Q11," ",AC$6," не допускается ! "),"")</f>
      </c>
      <c r="AD11" s="587">
        <f>IF(IF(ISNA(INDEX(СГИ!$Q$3:$AJ$22,VLOOKUP($Q11,СГИ!$O$3:$P$22,2),HLOOKUP(AD$6,СГИ!$Q$1:$AJ$2,2))),"",INDEX(СГИ!$Q$3:$AJ$22,VLOOKUP($Q11,СГИ!$O$3:$P$22,2),HLOOKUP(AD$6,СГИ!$Q$1:$AJ$2,2)))=1,CONCATENATE("при измерении ",$Q11," ",AD$6," не допускается ! "),"")</f>
      </c>
      <c r="AE11" s="587">
        <f>IF(IF(ISNA(INDEX(СГИ!$Q$3:$AJ$22,VLOOKUP($Q11,СГИ!$O$3:$P$22,2),HLOOKUP(AE$6,СГИ!$Q$1:$AJ$2,2))),"",INDEX(СГИ!$Q$3:$AJ$22,VLOOKUP($Q11,СГИ!$O$3:$P$22,2),HLOOKUP(AE$6,СГИ!$Q$1:$AJ$2,2)))=1,CONCATENATE("при измерении ",$Q11," ",AE$6," не допускается ! "),"")</f>
      </c>
      <c r="AF11" s="587">
        <f>IF(IF(ISNA(INDEX(СГИ!$Q$3:$AJ$22,VLOOKUP($Q11,СГИ!$O$3:$P$22,2),HLOOKUP(AF$6,СГИ!$Q$1:$AJ$2,2))),"",INDEX(СГИ!$Q$3:$AJ$22,VLOOKUP($Q11,СГИ!$O$3:$P$22,2),HLOOKUP(AF$6,СГИ!$Q$1:$AJ$2,2)))=1,CONCATENATE("при измерении ",$Q11," ",AF$6," не допускается ! "),"")</f>
      </c>
      <c r="AG11" s="587">
        <f>IF(IF(ISNA(INDEX(СГИ!$Q$3:$AJ$22,VLOOKUP($Q11,СГИ!$O$3:$P$22,2),HLOOKUP(AG$6,СГИ!$Q$1:$AJ$2,2))),"",INDEX(СГИ!$Q$3:$AJ$22,VLOOKUP($Q11,СГИ!$O$3:$P$22,2),HLOOKUP(AG$6,СГИ!$Q$1:$AJ$2,2)))=1,CONCATENATE("при измерении ",$Q11," ",AG$6," не допускается ! "),"")</f>
      </c>
      <c r="AH11" s="587">
        <f>IF(IF(ISNA(INDEX(СГИ!$Q$3:$AJ$22,VLOOKUP($Q11,СГИ!$O$3:$P$22,2),HLOOKUP(AH$6,СГИ!$Q$1:$AJ$2,2))),"",INDEX(СГИ!$Q$3:$AJ$22,VLOOKUP($Q11,СГИ!$O$3:$P$22,2),HLOOKUP(AH$6,СГИ!$Q$1:$AJ$2,2)))=1,CONCATENATE("при измерении ",$Q11," ",AH$6," не допускается ! "),"")</f>
      </c>
      <c r="AI11" s="615">
        <f>IF(IF(ISNA(INDEX(СГИ!$Q$3:$AJ$22,VLOOKUP($Q11,СГИ!$O$3:$P$22,2),HLOOKUP(AI$6,СГИ!$Q$1:$AJ$2,2))),"",INDEX(СГИ!$Q$3:$AJ$22,VLOOKUP($Q11,СГИ!$O$3:$P$22,2),HLOOKUP(AI$6,СГИ!$Q$1:$AJ$2,2)))=1,CONCATENATE("при измерении ",$Q11," ",AI$6," не допускается ! "),"")</f>
      </c>
      <c r="AJ11" s="1">
        <f t="shared" si="0"/>
      </c>
      <c r="AL11" s="807" t="s">
        <v>604</v>
      </c>
      <c r="AM11" s="1" t="s">
        <v>598</v>
      </c>
    </row>
    <row r="12" spans="1:39" ht="33" customHeight="1" thickBot="1">
      <c r="A12" s="827" t="s">
        <v>686</v>
      </c>
      <c r="B12" s="830" t="s">
        <v>650</v>
      </c>
      <c r="C12" s="827" t="s">
        <v>680</v>
      </c>
      <c r="D12" s="840" t="s">
        <v>650</v>
      </c>
      <c r="E12" s="839" t="s">
        <v>689</v>
      </c>
      <c r="F12" s="840" t="s">
        <v>650</v>
      </c>
      <c r="G12" s="827" t="s">
        <v>701</v>
      </c>
      <c r="H12" s="845" t="s">
        <v>650</v>
      </c>
      <c r="I12" s="841" t="s">
        <v>546</v>
      </c>
      <c r="J12" s="1"/>
      <c r="K12" s="852" t="str">
        <f>CONCATENATE("наценка за гирлянду                        (",M27," р. за канал):")</f>
        <v>наценка за гирлянду                        ( р. за канал):</v>
      </c>
      <c r="L12" s="861">
        <f>ТС!B10</f>
        <v>0</v>
      </c>
      <c r="M12" s="868">
        <f>'И21,И22-стационарные с вын. БД'!K12</f>
      </c>
      <c r="N12" s="492">
        <f>IF(SUM('И21,И22-стационарные с вын. БД'!$C$7:$C$24)&gt;8,IF(OR('И21,И22-стационарные с вын. БД'!B12="O3",'И21,И22-стационарные с вын. БД'!B12="F2"),"--",VLOOKUP('И21,И22-стационарные с вын. БД'!B12,СГИ!$A$8:$G$27,IF(N$6=сообщения!I$3,3,4),TRUE)+VLOOKUP('И21,И22-стационарные с вын. БД'!B12,СГИ!$A$8:$G$27,2,TRUE)),VLOOKUP('И21,И22-стационарные с вын. БД'!B12,СГИ!$A$8:$G$27,IF(N$6=сообщения!I$3,3,4),TRUE))</f>
        <v>9330</v>
      </c>
      <c r="O12" s="493">
        <f>IF('И21,И22-стационарные с вын. БД'!M12&gt;0,VLOOKUP(M12,СГИ!$A$8:$G$27,IF(N$6=сообщения!I$3,5,6),TRUE),"")</f>
      </c>
      <c r="P12">
        <f>DCOUNTA('И21,И22-стационарные с вын. БД'!N$6:N$24,'И21,И22-стационарные с вын. БД'!N$6,I$17:I$18)</f>
        <v>0</v>
      </c>
      <c r="Q12" s="614">
        <f>IF(сообщения!M12="","",сообщения!M12)</f>
      </c>
      <c r="R12" s="587">
        <f>IF(IF(ISNA(INDEX(СГИ!$Q$3:$AJ$22,VLOOKUP($Q12,СГИ!$O$3:$P$22,2),HLOOKUP(R$6,СГИ!$Q$1:$AJ$2,2))),"",INDEX(СГИ!$Q$3:$AJ$22,VLOOKUP($Q12,СГИ!$O$3:$P$22,2),HLOOKUP(R$6,СГИ!$Q$1:$AJ$2,2)))=1,CONCATENATE("при измерении ",$Q12," ",R$6," не допускается ! "),"")</f>
      </c>
      <c r="S12" s="587">
        <f>IF(IF(ISNA(INDEX(СГИ!$Q$3:$AJ$22,VLOOKUP($Q12,СГИ!$O$3:$P$22,2),HLOOKUP(S$6,СГИ!$Q$1:$AJ$2,2))),"",INDEX(СГИ!$Q$3:$AJ$22,VLOOKUP($Q12,СГИ!$O$3:$P$22,2),HLOOKUP(S$6,СГИ!$Q$1:$AJ$2,2)))=1,CONCATENATE("при измерении ",$Q12," ",S$6," не допускается ! "),"")</f>
      </c>
      <c r="T12" s="587">
        <f>IF(IF(ISNA(INDEX(СГИ!$Q$3:$AJ$22,VLOOKUP($Q12,СГИ!$O$3:$P$22,2),HLOOKUP(T$6,СГИ!$Q$1:$AJ$2,2))),"",INDEX(СГИ!$Q$3:$AJ$22,VLOOKUP($Q12,СГИ!$O$3:$P$22,2),HLOOKUP(T$6,СГИ!$Q$1:$AJ$2,2)))=1,CONCATENATE("при измерении ",$Q12," ",T$6," не допускается ! "),"")</f>
      </c>
      <c r="U12" s="587">
        <f>IF(IF(ISNA(INDEX(СГИ!$Q$3:$AJ$22,VLOOKUP($Q12,СГИ!$O$3:$P$22,2),HLOOKUP(U$6,СГИ!$Q$1:$AJ$2,2))),"",INDEX(СГИ!$Q$3:$AJ$22,VLOOKUP($Q12,СГИ!$O$3:$P$22,2),HLOOKUP(U$6,СГИ!$Q$1:$AJ$2,2)))=1,CONCATENATE("при измерении ",$Q12," ",U$6," не допускается ! "),"")</f>
      </c>
      <c r="V12" s="587">
        <f>IF(IF(ISNA(INDEX(СГИ!$Q$3:$AJ$22,VLOOKUP($Q12,СГИ!$O$3:$P$22,2),HLOOKUP(V$6,СГИ!$Q$1:$AJ$2,2))),"",INDEX(СГИ!$Q$3:$AJ$22,VLOOKUP($Q12,СГИ!$O$3:$P$22,2),HLOOKUP(V$6,СГИ!$Q$1:$AJ$2,2)))=1,CONCATENATE("при измерении ",$Q12," ",V$6," не допускается ! "),"")</f>
      </c>
      <c r="W12" s="587">
        <f>IF(IF(ISNA(INDEX(СГИ!$Q$3:$AJ$22,VLOOKUP($Q12,СГИ!$O$3:$P$22,2),HLOOKUP(W$6,СГИ!$Q$1:$AJ$2,2))),"",INDEX(СГИ!$Q$3:$AJ$22,VLOOKUP($Q12,СГИ!$O$3:$P$22,2),HLOOKUP(W$6,СГИ!$Q$1:$AJ$2,2)))=1,CONCATENATE("при измерении ",$Q12," ",W$6," не допускается ! "),"")</f>
      </c>
      <c r="X12" s="587">
        <f>IF(IF(ISNA(INDEX(СГИ!$Q$3:$AJ$22,VLOOKUP($Q12,СГИ!$O$3:$P$22,2),HLOOKUP(X$6,СГИ!$Q$1:$AJ$2,2))),"",INDEX(СГИ!$Q$3:$AJ$22,VLOOKUP($Q12,СГИ!$O$3:$P$22,2),HLOOKUP(X$6,СГИ!$Q$1:$AJ$2,2)))=1,CONCATENATE("при измерении ",$Q12," ",X$6," не допускается ! "),"")</f>
      </c>
      <c r="Y12" s="587">
        <f>IF(IF(ISNA(INDEX(СГИ!$Q$3:$AJ$22,VLOOKUP($Q12,СГИ!$O$3:$P$22,2),HLOOKUP(Y$6,СГИ!$Q$1:$AJ$2,2))),"",INDEX(СГИ!$Q$3:$AJ$22,VLOOKUP($Q12,СГИ!$O$3:$P$22,2),HLOOKUP(Y$6,СГИ!$Q$1:$AJ$2,2)))=1,CONCATENATE("при измерении ",$Q12," ",Y$6," не допускается ! "),"")</f>
      </c>
      <c r="Z12" s="587">
        <f>IF(IF(ISNA(INDEX(СГИ!$Q$3:$AJ$22,VLOOKUP($Q12,СГИ!$O$3:$P$22,2),HLOOKUP(Z$6,СГИ!$Q$1:$AJ$2,2))),"",INDEX(СГИ!$Q$3:$AJ$22,VLOOKUP($Q12,СГИ!$O$3:$P$22,2),HLOOKUP(Z$6,СГИ!$Q$1:$AJ$2,2)))=1,CONCATENATE("при измерении ",$Q12," ",Z$6," не допускается ! "),"")</f>
      </c>
      <c r="AA12" s="587">
        <f>IF(IF(ISNA(INDEX(СГИ!$Q$3:$AJ$22,VLOOKUP($Q12,СГИ!$O$3:$P$22,2),HLOOKUP(AA$6,СГИ!$Q$1:$AJ$2,2))),"",INDEX(СГИ!$Q$3:$AJ$22,VLOOKUP($Q12,СГИ!$O$3:$P$22,2),HLOOKUP(AA$6,СГИ!$Q$1:$AJ$2,2)))=1,CONCATENATE("при измерении ",$Q12," ",AA$6," не допускается ! "),"")</f>
      </c>
      <c r="AB12" s="587">
        <f>IF(IF(ISNA(INDEX(СГИ!$Q$3:$AJ$22,VLOOKUP($Q12,СГИ!$O$3:$P$22,2),HLOOKUP(AB$6,СГИ!$Q$1:$AJ$2,2))),"",INDEX(СГИ!$Q$3:$AJ$22,VLOOKUP($Q12,СГИ!$O$3:$P$22,2),HLOOKUP(AB$6,СГИ!$Q$1:$AJ$2,2)))=1,CONCATENATE("при измерении ",$Q12," ",AB$6," не допускается ! "),"")</f>
      </c>
      <c r="AC12" s="587">
        <f>IF(IF(ISNA(INDEX(СГИ!$Q$3:$AJ$22,VLOOKUP($Q12,СГИ!$O$3:$P$22,2),HLOOKUP(AC$6,СГИ!$Q$1:$AJ$2,2))),"",INDEX(СГИ!$Q$3:$AJ$22,VLOOKUP($Q12,СГИ!$O$3:$P$22,2),HLOOKUP(AC$6,СГИ!$Q$1:$AJ$2,2)))=1,CONCATENATE("при измерении ",$Q12," ",AC$6," не допускается ! "),"")</f>
      </c>
      <c r="AD12" s="587">
        <f>IF(IF(ISNA(INDEX(СГИ!$Q$3:$AJ$22,VLOOKUP($Q12,СГИ!$O$3:$P$22,2),HLOOKUP(AD$6,СГИ!$Q$1:$AJ$2,2))),"",INDEX(СГИ!$Q$3:$AJ$22,VLOOKUP($Q12,СГИ!$O$3:$P$22,2),HLOOKUP(AD$6,СГИ!$Q$1:$AJ$2,2)))=1,CONCATENATE("при измерении ",$Q12," ",AD$6," не допускается ! "),"")</f>
      </c>
      <c r="AE12" s="587">
        <f>IF(IF(ISNA(INDEX(СГИ!$Q$3:$AJ$22,VLOOKUP($Q12,СГИ!$O$3:$P$22,2),HLOOKUP(AE$6,СГИ!$Q$1:$AJ$2,2))),"",INDEX(СГИ!$Q$3:$AJ$22,VLOOKUP($Q12,СГИ!$O$3:$P$22,2),HLOOKUP(AE$6,СГИ!$Q$1:$AJ$2,2)))=1,CONCATENATE("при измерении ",$Q12," ",AE$6," не допускается ! "),"")</f>
      </c>
      <c r="AF12" s="587">
        <f>IF(IF(ISNA(INDEX(СГИ!$Q$3:$AJ$22,VLOOKUP($Q12,СГИ!$O$3:$P$22,2),HLOOKUP(AF$6,СГИ!$Q$1:$AJ$2,2))),"",INDEX(СГИ!$Q$3:$AJ$22,VLOOKUP($Q12,СГИ!$O$3:$P$22,2),HLOOKUP(AF$6,СГИ!$Q$1:$AJ$2,2)))=1,CONCATENATE("при измерении ",$Q12," ",AF$6," не допускается ! "),"")</f>
      </c>
      <c r="AG12" s="587">
        <f>IF(IF(ISNA(INDEX(СГИ!$Q$3:$AJ$22,VLOOKUP($Q12,СГИ!$O$3:$P$22,2),HLOOKUP(AG$6,СГИ!$Q$1:$AJ$2,2))),"",INDEX(СГИ!$Q$3:$AJ$22,VLOOKUP($Q12,СГИ!$O$3:$P$22,2),HLOOKUP(AG$6,СГИ!$Q$1:$AJ$2,2)))=1,CONCATENATE("при измерении ",$Q12," ",AG$6," не допускается ! "),"")</f>
      </c>
      <c r="AH12" s="587">
        <f>IF(IF(ISNA(INDEX(СГИ!$Q$3:$AJ$22,VLOOKUP($Q12,СГИ!$O$3:$P$22,2),HLOOKUP(AH$6,СГИ!$Q$1:$AJ$2,2))),"",INDEX(СГИ!$Q$3:$AJ$22,VLOOKUP($Q12,СГИ!$O$3:$P$22,2),HLOOKUP(AH$6,СГИ!$Q$1:$AJ$2,2)))=1,CONCATENATE("при измерении ",$Q12," ",AH$6," не допускается ! "),"")</f>
      </c>
      <c r="AI12" s="615">
        <f>IF(IF(ISNA(INDEX(СГИ!$Q$3:$AJ$22,VLOOKUP($Q12,СГИ!$O$3:$P$22,2),HLOOKUP(AI$6,СГИ!$Q$1:$AJ$2,2))),"",INDEX(СГИ!$Q$3:$AJ$22,VLOOKUP($Q12,СГИ!$O$3:$P$22,2),HLOOKUP(AI$6,СГИ!$Q$1:$AJ$2,2)))=1,CONCATENATE("при измерении ",$Q12," ",AI$6," не допускается ! "),"")</f>
      </c>
      <c r="AJ12" s="1">
        <f t="shared" si="0"/>
      </c>
      <c r="AL12" s="807" t="s">
        <v>605</v>
      </c>
      <c r="AM12" s="1" t="s">
        <v>599</v>
      </c>
    </row>
    <row r="13" spans="1:39" ht="33" customHeight="1" thickBot="1">
      <c r="A13" s="575" t="str">
        <f>IF(C13="",A15,C13)</f>
        <v>Укажите количества каналов измерения выбранных газов </v>
      </c>
      <c r="B13" s="829" t="str">
        <f>CONCATENATE("- ",ADDRESS(7,9,1,1,"стац. с выносн. БД"))</f>
        <v>- 'стац. с выносн. БД'!$I$7</v>
      </c>
      <c r="C13" s="575">
        <f>IF(C15="",IF(C16="",IF(C17="",IF(C18="","",C18),C17),C16),C15)</f>
      </c>
      <c r="D13" s="829" t="str">
        <f>CONCATENATE("- ",ADDRESS(7,9,1,1,"стац. с выносн. БД"))</f>
        <v>- 'стац. с выносн. БД'!$I$7</v>
      </c>
      <c r="E13" s="575" t="str">
        <f>IF(G13="",E15,G13)</f>
        <v>(укажите взрывозащищённые каналы, если необходимо)</v>
      </c>
      <c r="F13" s="829" t="str">
        <f>CONCATENATE("- ",ADDRESS(9,9,1,1,"стац. с выносн. БД"))</f>
        <v>- 'стац. с выносн. БД'!$I$9</v>
      </c>
      <c r="G13" s="575">
        <f>IF(G15="",IF(G16="",IF(G17="",IF(G18="",IF(G19="",IF(G20="",IF(G21="","",G21),G20),G19),G18),G17),G16),G15)</f>
      </c>
      <c r="H13" s="846" t="str">
        <f>CONCATENATE("- ",ADDRESS(9,9,1,1,"стац. с выносн. БД"))</f>
        <v>- 'стац. с выносн. БД'!$I$9</v>
      </c>
      <c r="I13" s="544" t="s">
        <v>543</v>
      </c>
      <c r="J13" s="1"/>
      <c r="K13" s="853" t="str">
        <f>CONCATENATE("наценка за коррозионно-устойчивое исполнение (",L26," р. за канал)")</f>
        <v>наценка за коррозионно-устойчивое исполнение (1100 р. за канал)</v>
      </c>
      <c r="L13" s="862">
        <f>ТС!B16</f>
        <v>0</v>
      </c>
      <c r="M13" s="868">
        <f>'И21,И22-стационарные с вын. БД'!K13</f>
      </c>
      <c r="N13" s="492">
        <f>IF(SUM('И21,И22-стационарные с вын. БД'!$C$7:$C$24)&gt;8,IF(OR('И21,И22-стационарные с вын. БД'!B13="O3",'И21,И22-стационарные с вын. БД'!B13="F2"),"--",VLOOKUP('И21,И22-стационарные с вын. БД'!B13,СГИ!$A$8:$G$27,IF(N$6=сообщения!I$3,3,4),TRUE)+VLOOKUP('И21,И22-стационарные с вын. БД'!B13,СГИ!$A$8:$G$27,2,TRUE)),VLOOKUP('И21,И22-стационарные с вын. БД'!B13,СГИ!$A$8:$G$27,IF(N$6=сообщения!I$3,3,4),TRUE))</f>
        <v>18640</v>
      </c>
      <c r="O13" s="493">
        <f>IF('И21,И22-стационарные с вын. БД'!M13&gt;0,VLOOKUP(M13,СГИ!$A$8:$G$27,IF(N$6=сообщения!I$3,5,6),TRUE),"")</f>
      </c>
      <c r="Q13" s="614">
        <f>IF(сообщения!M13="","",сообщения!M13)</f>
      </c>
      <c r="R13" s="587">
        <f>IF(IF(ISNA(INDEX(СГИ!$Q$3:$AJ$22,VLOOKUP($Q13,СГИ!$O$3:$P$22,2),HLOOKUP(R$6,СГИ!$Q$1:$AJ$2,2))),"",INDEX(СГИ!$Q$3:$AJ$22,VLOOKUP($Q13,СГИ!$O$3:$P$22,2),HLOOKUP(R$6,СГИ!$Q$1:$AJ$2,2)))=1,CONCATENATE("при измерении ",$Q13," ",R$6," не допускается ! "),"")</f>
      </c>
      <c r="S13" s="587">
        <f>IF(IF(ISNA(INDEX(СГИ!$Q$3:$AJ$22,VLOOKUP($Q13,СГИ!$O$3:$P$22,2),HLOOKUP(S$6,СГИ!$Q$1:$AJ$2,2))),"",INDEX(СГИ!$Q$3:$AJ$22,VLOOKUP($Q13,СГИ!$O$3:$P$22,2),HLOOKUP(S$6,СГИ!$Q$1:$AJ$2,2)))=1,CONCATENATE("при измерении ",$Q13," ",S$6," не допускается ! "),"")</f>
      </c>
      <c r="T13" s="587">
        <f>IF(IF(ISNA(INDEX(СГИ!$Q$3:$AJ$22,VLOOKUP($Q13,СГИ!$O$3:$P$22,2),HLOOKUP(T$6,СГИ!$Q$1:$AJ$2,2))),"",INDEX(СГИ!$Q$3:$AJ$22,VLOOKUP($Q13,СГИ!$O$3:$P$22,2),HLOOKUP(T$6,СГИ!$Q$1:$AJ$2,2)))=1,CONCATENATE("при измерении ",$Q13," ",T$6," не допускается ! "),"")</f>
      </c>
      <c r="U13" s="587">
        <f>IF(IF(ISNA(INDEX(СГИ!$Q$3:$AJ$22,VLOOKUP($Q13,СГИ!$O$3:$P$22,2),HLOOKUP(U$6,СГИ!$Q$1:$AJ$2,2))),"",INDEX(СГИ!$Q$3:$AJ$22,VLOOKUP($Q13,СГИ!$O$3:$P$22,2),HLOOKUP(U$6,СГИ!$Q$1:$AJ$2,2)))=1,CONCATENATE("при измерении ",$Q13," ",U$6," не допускается ! "),"")</f>
      </c>
      <c r="V13" s="587">
        <f>IF(IF(ISNA(INDEX(СГИ!$Q$3:$AJ$22,VLOOKUP($Q13,СГИ!$O$3:$P$22,2),HLOOKUP(V$6,СГИ!$Q$1:$AJ$2,2))),"",INDEX(СГИ!$Q$3:$AJ$22,VLOOKUP($Q13,СГИ!$O$3:$P$22,2),HLOOKUP(V$6,СГИ!$Q$1:$AJ$2,2)))=1,CONCATENATE("при измерении ",$Q13," ",V$6," не допускается ! "),"")</f>
      </c>
      <c r="W13" s="587">
        <f>IF(IF(ISNA(INDEX(СГИ!$Q$3:$AJ$22,VLOOKUP($Q13,СГИ!$O$3:$P$22,2),HLOOKUP(W$6,СГИ!$Q$1:$AJ$2,2))),"",INDEX(СГИ!$Q$3:$AJ$22,VLOOKUP($Q13,СГИ!$O$3:$P$22,2),HLOOKUP(W$6,СГИ!$Q$1:$AJ$2,2)))=1,CONCATENATE("при измерении ",$Q13," ",W$6," не допускается ! "),"")</f>
      </c>
      <c r="X13" s="587">
        <f>IF(IF(ISNA(INDEX(СГИ!$Q$3:$AJ$22,VLOOKUP($Q13,СГИ!$O$3:$P$22,2),HLOOKUP(X$6,СГИ!$Q$1:$AJ$2,2))),"",INDEX(СГИ!$Q$3:$AJ$22,VLOOKUP($Q13,СГИ!$O$3:$P$22,2),HLOOKUP(X$6,СГИ!$Q$1:$AJ$2,2)))=1,CONCATENATE("при измерении ",$Q13," ",X$6," не допускается ! "),"")</f>
      </c>
      <c r="Y13" s="587">
        <f>IF(IF(ISNA(INDEX(СГИ!$Q$3:$AJ$22,VLOOKUP($Q13,СГИ!$O$3:$P$22,2),HLOOKUP(Y$6,СГИ!$Q$1:$AJ$2,2))),"",INDEX(СГИ!$Q$3:$AJ$22,VLOOKUP($Q13,СГИ!$O$3:$P$22,2),HLOOKUP(Y$6,СГИ!$Q$1:$AJ$2,2)))=1,CONCATENATE("при измерении ",$Q13," ",Y$6," не допускается ! "),"")</f>
      </c>
      <c r="Z13" s="587">
        <f>IF(IF(ISNA(INDEX(СГИ!$Q$3:$AJ$22,VLOOKUP($Q13,СГИ!$O$3:$P$22,2),HLOOKUP(Z$6,СГИ!$Q$1:$AJ$2,2))),"",INDEX(СГИ!$Q$3:$AJ$22,VLOOKUP($Q13,СГИ!$O$3:$P$22,2),HLOOKUP(Z$6,СГИ!$Q$1:$AJ$2,2)))=1,CONCATENATE("при измерении ",$Q13," ",Z$6," не допускается ! "),"")</f>
      </c>
      <c r="AA13" s="587">
        <f>IF(IF(ISNA(INDEX(СГИ!$Q$3:$AJ$22,VLOOKUP($Q13,СГИ!$O$3:$P$22,2),HLOOKUP(AA$6,СГИ!$Q$1:$AJ$2,2))),"",INDEX(СГИ!$Q$3:$AJ$22,VLOOKUP($Q13,СГИ!$O$3:$P$22,2),HLOOKUP(AA$6,СГИ!$Q$1:$AJ$2,2)))=1,CONCATENATE("при измерении ",$Q13," ",AA$6," не допускается ! "),"")</f>
      </c>
      <c r="AB13" s="587">
        <f>IF(IF(ISNA(INDEX(СГИ!$Q$3:$AJ$22,VLOOKUP($Q13,СГИ!$O$3:$P$22,2),HLOOKUP(AB$6,СГИ!$Q$1:$AJ$2,2))),"",INDEX(СГИ!$Q$3:$AJ$22,VLOOKUP($Q13,СГИ!$O$3:$P$22,2),HLOOKUP(AB$6,СГИ!$Q$1:$AJ$2,2)))=1,CONCATENATE("при измерении ",$Q13," ",AB$6," не допускается ! "),"")</f>
      </c>
      <c r="AC13" s="587">
        <f>IF(IF(ISNA(INDEX(СГИ!$Q$3:$AJ$22,VLOOKUP($Q13,СГИ!$O$3:$P$22,2),HLOOKUP(AC$6,СГИ!$Q$1:$AJ$2,2))),"",INDEX(СГИ!$Q$3:$AJ$22,VLOOKUP($Q13,СГИ!$O$3:$P$22,2),HLOOKUP(AC$6,СГИ!$Q$1:$AJ$2,2)))=1,CONCATENATE("при измерении ",$Q13," ",AC$6," не допускается ! "),"")</f>
      </c>
      <c r="AD13" s="587">
        <f>IF(IF(ISNA(INDEX(СГИ!$Q$3:$AJ$22,VLOOKUP($Q13,СГИ!$O$3:$P$22,2),HLOOKUP(AD$6,СГИ!$Q$1:$AJ$2,2))),"",INDEX(СГИ!$Q$3:$AJ$22,VLOOKUP($Q13,СГИ!$O$3:$P$22,2),HLOOKUP(AD$6,СГИ!$Q$1:$AJ$2,2)))=1,CONCATENATE("при измерении ",$Q13," ",AD$6," не допускается ! "),"")</f>
      </c>
      <c r="AE13" s="587">
        <f>IF(IF(ISNA(INDEX(СГИ!$Q$3:$AJ$22,VLOOKUP($Q13,СГИ!$O$3:$P$22,2),HLOOKUP(AE$6,СГИ!$Q$1:$AJ$2,2))),"",INDEX(СГИ!$Q$3:$AJ$22,VLOOKUP($Q13,СГИ!$O$3:$P$22,2),HLOOKUP(AE$6,СГИ!$Q$1:$AJ$2,2)))=1,CONCATENATE("при измерении ",$Q13," ",AE$6," не допускается ! "),"")</f>
      </c>
      <c r="AF13" s="587">
        <f>IF(IF(ISNA(INDEX(СГИ!$Q$3:$AJ$22,VLOOKUP($Q13,СГИ!$O$3:$P$22,2),HLOOKUP(AF$6,СГИ!$Q$1:$AJ$2,2))),"",INDEX(СГИ!$Q$3:$AJ$22,VLOOKUP($Q13,СГИ!$O$3:$P$22,2),HLOOKUP(AF$6,СГИ!$Q$1:$AJ$2,2)))=1,CONCATENATE("при измерении ",$Q13," ",AF$6," не допускается ! "),"")</f>
      </c>
      <c r="AG13" s="587">
        <f>IF(IF(ISNA(INDEX(СГИ!$Q$3:$AJ$22,VLOOKUP($Q13,СГИ!$O$3:$P$22,2),HLOOKUP(AG$6,СГИ!$Q$1:$AJ$2,2))),"",INDEX(СГИ!$Q$3:$AJ$22,VLOOKUP($Q13,СГИ!$O$3:$P$22,2),HLOOKUP(AG$6,СГИ!$Q$1:$AJ$2,2)))=1,CONCATENATE("при измерении ",$Q13," ",AG$6," не допускается ! "),"")</f>
      </c>
      <c r="AH13" s="587">
        <f>IF(IF(ISNA(INDEX(СГИ!$Q$3:$AJ$22,VLOOKUP($Q13,СГИ!$O$3:$P$22,2),HLOOKUP(AH$6,СГИ!$Q$1:$AJ$2,2))),"",INDEX(СГИ!$Q$3:$AJ$22,VLOOKUP($Q13,СГИ!$O$3:$P$22,2),HLOOKUP(AH$6,СГИ!$Q$1:$AJ$2,2)))=1,CONCATENATE("при измерении ",$Q13," ",AH$6," не допускается ! "),"")</f>
      </c>
      <c r="AI13" s="615">
        <f>IF(IF(ISNA(INDEX(СГИ!$Q$3:$AJ$22,VLOOKUP($Q13,СГИ!$O$3:$P$22,2),HLOOKUP(AI$6,СГИ!$Q$1:$AJ$2,2))),"",INDEX(СГИ!$Q$3:$AJ$22,VLOOKUP($Q13,СГИ!$O$3:$P$22,2),HLOOKUP(AI$6,СГИ!$Q$1:$AJ$2,2)))=1,CONCATENATE("при измерении ",$Q13," ",AI$6," не допускается ! "),"")</f>
      </c>
      <c r="AJ13" s="1">
        <f t="shared" si="0"/>
      </c>
      <c r="AL13" s="807" t="s">
        <v>605</v>
      </c>
      <c r="AM13" s="1" t="s">
        <v>600</v>
      </c>
    </row>
    <row r="14" spans="1:39" ht="33" customHeight="1" thickBot="1">
      <c r="A14" s="831" t="s">
        <v>644</v>
      </c>
      <c r="C14" s="831" t="s">
        <v>682</v>
      </c>
      <c r="E14" s="536" t="s">
        <v>726</v>
      </c>
      <c r="G14" s="831" t="s">
        <v>702</v>
      </c>
      <c r="I14" s="544" t="s">
        <v>587</v>
      </c>
      <c r="J14" s="1"/>
      <c r="K14" s="854" t="str">
        <f>CONCATENATE("скидка без дисплея ",L27," р.")</f>
        <v>скидка без дисплея -3000 р.</v>
      </c>
      <c r="L14" s="863">
        <f>IF(AND('И21,И22-стационарные с вын. БД'!P13=1,NOT('И21,И22-стационарные с вын. БД'!P6=1),'И21,И22-стационарные с вын. БД'!C26&lt;3,'И21,И22-стационарные с вын. БД'!C26&gt;0),L27,0)</f>
        <v>0</v>
      </c>
      <c r="M14" s="868">
        <f>'И21,И22-стационарные с вын. БД'!K14</f>
      </c>
      <c r="N14" s="492">
        <f>IF(SUM('И21,И22-стационарные с вын. БД'!$C$7:$C$24)&gt;8,IF(OR('И21,И22-стационарные с вын. БД'!B14="O3",'И21,И22-стационарные с вын. БД'!B14="F2"),"--",VLOOKUP('И21,И22-стационарные с вын. БД'!B14,СГИ!$A$8:$G$27,IF(N$6=сообщения!I$3,3,4),TRUE)+VLOOKUP('И21,И22-стационарные с вын. БД'!B14,СГИ!$A$8:$G$27,2,TRUE)),VLOOKUP('И21,И22-стационарные с вын. БД'!B14,СГИ!$A$8:$G$27,IF(N$6=сообщения!I$3,3,4),TRUE))</f>
        <v>24090</v>
      </c>
      <c r="O14" s="493">
        <f>IF('И21,И22-стационарные с вын. БД'!M14&gt;0,VLOOKUP(M14,СГИ!$A$8:$G$27,IF(N$6=сообщения!I$3,5,6),TRUE),"")</f>
      </c>
      <c r="Q14" s="616"/>
      <c r="R14" s="589"/>
      <c r="S14" s="589"/>
      <c r="T14" s="589"/>
      <c r="U14" s="589"/>
      <c r="V14" s="589"/>
      <c r="W14" s="589"/>
      <c r="X14" s="589"/>
      <c r="Y14" s="589"/>
      <c r="Z14" s="589"/>
      <c r="AA14" s="589"/>
      <c r="AB14" s="589"/>
      <c r="AC14" s="589"/>
      <c r="AD14" s="589"/>
      <c r="AE14" s="589"/>
      <c r="AF14" s="589"/>
      <c r="AG14" s="589"/>
      <c r="AH14" s="589"/>
      <c r="AI14" s="617"/>
      <c r="AJ14" s="1">
        <f t="shared" si="0"/>
      </c>
      <c r="AL14" s="807" t="s">
        <v>746</v>
      </c>
      <c r="AM14" s="1" t="s">
        <v>601</v>
      </c>
    </row>
    <row r="15" spans="1:39" ht="33" customHeight="1" thickBot="1">
      <c r="A15" s="575" t="str">
        <f>CONCATENATE(A16,A17,IF(A19="",A18,A19))</f>
        <v>Укажите количества каналов измерения выбранных газов </v>
      </c>
      <c r="B15" s="826" t="s">
        <v>685</v>
      </c>
      <c r="C15" s="575">
        <f>IF('И21,И22-стационарные с вын. БД'!C26&gt;16,$I$8,"")</f>
      </c>
      <c r="D15" s="826" t="s">
        <v>655</v>
      </c>
      <c r="E15" s="878" t="str">
        <f>IF(OR(E$3=I$13,E$3=I$15),"",IF('И21,И22-стационарные с вын. БД'!C8&gt;0,сообщения!I21,I$19))</f>
        <v>(укажите взрывозащищённые каналы, если необходимо)</v>
      </c>
      <c r="G15" s="575">
        <f>IF(AND(OR('И21,И22-стационарные с вын. БД'!P6="",'И21,И22-стационарные с вын. БД'!P6=1),OR('И21,И22-стационарные с вын. БД'!P7="",'И21,И22-стационарные с вын. БД'!P7=1),OR('И21,И22-стационарные с вын. БД'!P8="",'И21,И22-стационарные с вын. БД'!P8=1),OR('И21,И22-стационарные с вын. БД'!P13="",'И21,И22-стационарные с вын. БД'!P13=1)),"",I20)</f>
      </c>
      <c r="H15" s="847" t="s">
        <v>693</v>
      </c>
      <c r="I15" s="544" t="s">
        <v>544</v>
      </c>
      <c r="J15" s="1"/>
      <c r="K15" s="947" t="s">
        <v>854</v>
      </c>
      <c r="L15" s="948">
        <f>ТС!B13</f>
        <v>0</v>
      </c>
      <c r="M15" s="868">
        <f>'И21,И22-стационарные с вын. БД'!K15</f>
      </c>
      <c r="N15" s="492">
        <f>IF(SUM('И21,И22-стационарные с вын. БД'!$C$7:$C$24)&gt;8,IF(OR('И21,И22-стационарные с вын. БД'!B15="O3",'И21,И22-стационарные с вын. БД'!B15="F2"),"--",VLOOKUP('И21,И22-стационарные с вын. БД'!B15,СГИ!$A$8:$G$27,IF(N$6=сообщения!I$3,3,4),TRUE)+VLOOKUP('И21,И22-стационарные с вын. БД'!B15,СГИ!$A$8:$G$27,2,TRUE)),VLOOKUP('И21,И22-стационарные с вын. БД'!B15,СГИ!$A$8:$G$27,IF(N$6=сообщения!I$3,3,4),TRUE))</f>
        <v>10250</v>
      </c>
      <c r="O15" s="493">
        <f>IF('И21,И22-стационарные с вын. БД'!M15&gt;0,VLOOKUP(M15,СГИ!$A$8:$G$27,IF(N$6=сообщения!I$3,5,6),TRUE),"")</f>
      </c>
      <c r="Q15" s="614">
        <f>IF(сообщения!M15="","",сообщения!M15)</f>
      </c>
      <c r="R15" s="587">
        <f>IF(IF(ISNA(INDEX(СГИ!$Q$3:$AJ$22,VLOOKUP($Q15,СГИ!$O$3:$P$22,2),HLOOKUP(R$6,СГИ!$Q$1:$AJ$2,2))),"",INDEX(СГИ!$Q$3:$AJ$22,VLOOKUP($Q15,СГИ!$O$3:$P$22,2),HLOOKUP(R$6,СГИ!$Q$1:$AJ$2,2)))=1,CONCATENATE("при измерении ",$Q15," ",R$6," не допускается ! "),"")</f>
      </c>
      <c r="S15" s="587">
        <f>IF(IF(ISNA(INDEX(СГИ!$Q$3:$AJ$22,VLOOKUP($Q15,СГИ!$O$3:$P$22,2),HLOOKUP(S$6,СГИ!$Q$1:$AJ$2,2))),"",INDEX(СГИ!$Q$3:$AJ$22,VLOOKUP($Q15,СГИ!$O$3:$P$22,2),HLOOKUP(S$6,СГИ!$Q$1:$AJ$2,2)))=1,CONCATENATE("при измерении ",$Q15," ",S$6," не допускается ! "),"")</f>
      </c>
      <c r="T15" s="587">
        <f>IF(IF(ISNA(INDEX(СГИ!$Q$3:$AJ$22,VLOOKUP($Q15,СГИ!$O$3:$P$22,2),HLOOKUP(T$6,СГИ!$Q$1:$AJ$2,2))),"",INDEX(СГИ!$Q$3:$AJ$22,VLOOKUP($Q15,СГИ!$O$3:$P$22,2),HLOOKUP(T$6,СГИ!$Q$1:$AJ$2,2)))=1,CONCATENATE("при измерении ",$Q15," ",T$6," не допускается ! "),"")</f>
      </c>
      <c r="U15" s="587">
        <f>IF(IF(ISNA(INDEX(СГИ!$Q$3:$AJ$22,VLOOKUP($Q15,СГИ!$O$3:$P$22,2),HLOOKUP(U$6,СГИ!$Q$1:$AJ$2,2))),"",INDEX(СГИ!$Q$3:$AJ$22,VLOOKUP($Q15,СГИ!$O$3:$P$22,2),HLOOKUP(U$6,СГИ!$Q$1:$AJ$2,2)))=1,CONCATENATE("при измерении ",$Q15," ",U$6," не допускается ! "),"")</f>
      </c>
      <c r="V15" s="587">
        <f>IF(IF(ISNA(INDEX(СГИ!$Q$3:$AJ$22,VLOOKUP($Q15,СГИ!$O$3:$P$22,2),HLOOKUP(V$6,СГИ!$Q$1:$AJ$2,2))),"",INDEX(СГИ!$Q$3:$AJ$22,VLOOKUP($Q15,СГИ!$O$3:$P$22,2),HLOOKUP(V$6,СГИ!$Q$1:$AJ$2,2)))=1,CONCATENATE("при измерении ",$Q15," ",V$6," не допускается ! "),"")</f>
      </c>
      <c r="W15" s="587">
        <f>IF(IF(ISNA(INDEX(СГИ!$Q$3:$AJ$22,VLOOKUP($Q15,СГИ!$O$3:$P$22,2),HLOOKUP(W$6,СГИ!$Q$1:$AJ$2,2))),"",INDEX(СГИ!$Q$3:$AJ$22,VLOOKUP($Q15,СГИ!$O$3:$P$22,2),HLOOKUP(W$6,СГИ!$Q$1:$AJ$2,2)))=1,CONCATENATE("при измерении ",$Q15," ",W$6," не допускается ! "),"")</f>
      </c>
      <c r="X15" s="587">
        <f>IF(IF(ISNA(INDEX(СГИ!$Q$3:$AJ$22,VLOOKUP($Q15,СГИ!$O$3:$P$22,2),HLOOKUP(X$6,СГИ!$Q$1:$AJ$2,2))),"",INDEX(СГИ!$Q$3:$AJ$22,VLOOKUP($Q15,СГИ!$O$3:$P$22,2),HLOOKUP(X$6,СГИ!$Q$1:$AJ$2,2)))=1,CONCATENATE("при измерении ",$Q15," ",X$6," не допускается ! "),"")</f>
      </c>
      <c r="Y15" s="587">
        <f>IF(IF(ISNA(INDEX(СГИ!$Q$3:$AJ$22,VLOOKUP($Q15,СГИ!$O$3:$P$22,2),HLOOKUP(Y$6,СГИ!$Q$1:$AJ$2,2))),"",INDEX(СГИ!$Q$3:$AJ$22,VLOOKUP($Q15,СГИ!$O$3:$P$22,2),HLOOKUP(Y$6,СГИ!$Q$1:$AJ$2,2)))=1,CONCATENATE("при измерении ",$Q15," ",Y$6," не допускается ! "),"")</f>
      </c>
      <c r="Z15" s="587">
        <f>IF(IF(ISNA(INDEX(СГИ!$Q$3:$AJ$22,VLOOKUP($Q15,СГИ!$O$3:$P$22,2),HLOOKUP(Z$6,СГИ!$Q$1:$AJ$2,2))),"",INDEX(СГИ!$Q$3:$AJ$22,VLOOKUP($Q15,СГИ!$O$3:$P$22,2),HLOOKUP(Z$6,СГИ!$Q$1:$AJ$2,2)))=1,CONCATENATE("при измерении ",$Q15," ",Z$6," не допускается ! "),"")</f>
      </c>
      <c r="AA15" s="587">
        <f>IF(IF(ISNA(INDEX(СГИ!$Q$3:$AJ$22,VLOOKUP($Q15,СГИ!$O$3:$P$22,2),HLOOKUP(AA$6,СГИ!$Q$1:$AJ$2,2))),"",INDEX(СГИ!$Q$3:$AJ$22,VLOOKUP($Q15,СГИ!$O$3:$P$22,2),HLOOKUP(AA$6,СГИ!$Q$1:$AJ$2,2)))=1,CONCATENATE("при измерении ",$Q15," ",AA$6," не допускается ! "),"")</f>
      </c>
      <c r="AB15" s="587">
        <f>IF(IF(ISNA(INDEX(СГИ!$Q$3:$AJ$22,VLOOKUP($Q15,СГИ!$O$3:$P$22,2),HLOOKUP(AB$6,СГИ!$Q$1:$AJ$2,2))),"",INDEX(СГИ!$Q$3:$AJ$22,VLOOKUP($Q15,СГИ!$O$3:$P$22,2),HLOOKUP(AB$6,СГИ!$Q$1:$AJ$2,2)))=1,CONCATENATE("при измерении ",$Q15," ",AB$6," не допускается ! "),"")</f>
      </c>
      <c r="AC15" s="587">
        <f>IF(IF(ISNA(INDEX(СГИ!$Q$3:$AJ$22,VLOOKUP($Q15,СГИ!$O$3:$P$22,2),HLOOKUP(AC$6,СГИ!$Q$1:$AJ$2,2))),"",INDEX(СГИ!$Q$3:$AJ$22,VLOOKUP($Q15,СГИ!$O$3:$P$22,2),HLOOKUP(AC$6,СГИ!$Q$1:$AJ$2,2)))=1,CONCATENATE("при измерении ",$Q15," ",AC$6," не допускается ! "),"")</f>
      </c>
      <c r="AD15" s="587">
        <f>IF(IF(ISNA(INDEX(СГИ!$Q$3:$AJ$22,VLOOKUP($Q15,СГИ!$O$3:$P$22,2),HLOOKUP(AD$6,СГИ!$Q$1:$AJ$2,2))),"",INDEX(СГИ!$Q$3:$AJ$22,VLOOKUP($Q15,СГИ!$O$3:$P$22,2),HLOOKUP(AD$6,СГИ!$Q$1:$AJ$2,2)))=1,CONCATENATE("при измерении ",$Q15," ",AD$6," не допускается ! "),"")</f>
      </c>
      <c r="AE15" s="587">
        <f>IF(IF(ISNA(INDEX(СГИ!$Q$3:$AJ$22,VLOOKUP($Q15,СГИ!$O$3:$P$22,2),HLOOKUP(AE$6,СГИ!$Q$1:$AJ$2,2))),"",INDEX(СГИ!$Q$3:$AJ$22,VLOOKUP($Q15,СГИ!$O$3:$P$22,2),HLOOKUP(AE$6,СГИ!$Q$1:$AJ$2,2)))=1,CONCATENATE("при измерении ",$Q15," ",AE$6," не допускается ! "),"")</f>
      </c>
      <c r="AF15" s="587">
        <f>IF(IF(ISNA(INDEX(СГИ!$Q$3:$AJ$22,VLOOKUP($Q15,СГИ!$O$3:$P$22,2),HLOOKUP(AF$6,СГИ!$Q$1:$AJ$2,2))),"",INDEX(СГИ!$Q$3:$AJ$22,VLOOKUP($Q15,СГИ!$O$3:$P$22,2),HLOOKUP(AF$6,СГИ!$Q$1:$AJ$2,2)))=1,CONCATENATE("при измерении ",$Q15," ",AF$6," не допускается ! "),"")</f>
      </c>
      <c r="AG15" s="587">
        <f>IF(IF(ISNA(INDEX(СГИ!$Q$3:$AJ$22,VLOOKUP($Q15,СГИ!$O$3:$P$22,2),HLOOKUP(AG$6,СГИ!$Q$1:$AJ$2,2))),"",INDEX(СГИ!$Q$3:$AJ$22,VLOOKUP($Q15,СГИ!$O$3:$P$22,2),HLOOKUP(AG$6,СГИ!$Q$1:$AJ$2,2)))=1,CONCATENATE("при измерении ",$Q15," ",AG$6," не допускается ! "),"")</f>
      </c>
      <c r="AH15" s="587">
        <f>IF(IF(ISNA(INDEX(СГИ!$Q$3:$AJ$22,VLOOKUP($Q15,СГИ!$O$3:$P$22,2),HLOOKUP(AH$6,СГИ!$Q$1:$AJ$2,2))),"",INDEX(СГИ!$Q$3:$AJ$22,VLOOKUP($Q15,СГИ!$O$3:$P$22,2),HLOOKUP(AH$6,СГИ!$Q$1:$AJ$2,2)))=1,CONCATENATE("при измерении ",$Q15," ",AH$6," не допускается ! "),"")</f>
      </c>
      <c r="AI15" s="615">
        <f>IF(IF(ISNA(INDEX(СГИ!$Q$3:$AJ$22,VLOOKUP($Q15,СГИ!$O$3:$P$22,2),HLOOKUP(AI$6,СГИ!$Q$1:$AJ$2,2))),"",INDEX(СГИ!$Q$3:$AJ$22,VLOOKUP($Q15,СГИ!$O$3:$P$22,2),HLOOKUP(AI$6,СГИ!$Q$1:$AJ$2,2)))=1,CONCATENATE("при измерении ",$Q15," ",AI$6," не допускается ! "),"")</f>
      </c>
      <c r="AJ15" s="1">
        <f t="shared" si="0"/>
      </c>
      <c r="AL15" s="807" t="s">
        <v>747</v>
      </c>
      <c r="AM15" s="1" t="s">
        <v>602</v>
      </c>
    </row>
    <row r="16" spans="1:39" ht="33" customHeight="1" thickBot="1">
      <c r="A16" s="575">
        <f>IF('И21,И22-стационарные с вын. БД'!C9&gt;0,$I$6,"")</f>
      </c>
      <c r="B16" s="826" t="s">
        <v>654</v>
      </c>
      <c r="C16" s="575">
        <f>IF(AND('И21,И22-стационарные с вын. БД'!P13=1,'И21,И22-стационарные с вын. БД'!C26&gt;2),$I$9,"")</f>
      </c>
      <c r="D16" s="826" t="s">
        <v>656</v>
      </c>
      <c r="G16" s="575">
        <f>IF(OR('И21,И22-стационарные с вын. БД'!C$8*'И21,И22-стационарные с вын. БД'!P$6&gt;0,'И21,И22-стационарные с вын. БД'!E8&gt;0),$I$21,"")</f>
      </c>
      <c r="H16" s="847" t="s">
        <v>694</v>
      </c>
      <c r="I16" s="544" t="s">
        <v>556</v>
      </c>
      <c r="J16" s="1"/>
      <c r="K16" s="624"/>
      <c r="L16" s="561"/>
      <c r="M16" s="868">
        <f>'И21,И22-стационарные с вын. БД'!K16</f>
      </c>
      <c r="N16" s="492">
        <f>IF(SUM('И21,И22-стационарные с вын. БД'!$C$7:$C$24)&gt;8,IF(OR('И21,И22-стационарные с вын. БД'!B16="O3",'И21,И22-стационарные с вын. БД'!B16="F2"),"--",VLOOKUP('И21,И22-стационарные с вын. БД'!B16,СГИ!$A$8:$G$27,IF(N$6=сообщения!I$3,3,4),TRUE)+VLOOKUP('И21,И22-стационарные с вын. БД'!B16,СГИ!$A$8:$G$27,2,TRUE)),VLOOKUP('И21,И22-стационарные с вын. БД'!B16,СГИ!$A$8:$G$27,IF(N$6=сообщения!I$3,3,4),TRUE))</f>
        <v>10310</v>
      </c>
      <c r="O16" s="493">
        <f>IF('И21,И22-стационарные с вын. БД'!M16&gt;0,VLOOKUP(M16,СГИ!$A$8:$G$27,IF(N$6=сообщения!I$3,5,6),TRUE),"")</f>
      </c>
      <c r="Q16" s="614">
        <f>IF(сообщения!M16="","",сообщения!M16)</f>
      </c>
      <c r="R16" s="587">
        <f>IF(IF(ISNA(INDEX(СГИ!$Q$3:$AJ$22,VLOOKUP($Q16,СГИ!$O$3:$P$22,2),HLOOKUP(R$6,СГИ!$Q$1:$AJ$2,2))),"",INDEX(СГИ!$Q$3:$AJ$22,VLOOKUP($Q16,СГИ!$O$3:$P$22,2),HLOOKUP(R$6,СГИ!$Q$1:$AJ$2,2)))=1,CONCATENATE("при измерении ",$Q16," ",R$6," не допускается ! "),"")</f>
      </c>
      <c r="S16" s="587">
        <f>IF(IF(ISNA(INDEX(СГИ!$Q$3:$AJ$22,VLOOKUP($Q16,СГИ!$O$3:$P$22,2),HLOOKUP(S$6,СГИ!$Q$1:$AJ$2,2))),"",INDEX(СГИ!$Q$3:$AJ$22,VLOOKUP($Q16,СГИ!$O$3:$P$22,2),HLOOKUP(S$6,СГИ!$Q$1:$AJ$2,2)))=1,CONCATENATE("при измерении ",$Q16," ",S$6," не допускается ! "),"")</f>
      </c>
      <c r="T16" s="587">
        <f>IF(IF(ISNA(INDEX(СГИ!$Q$3:$AJ$22,VLOOKUP($Q16,СГИ!$O$3:$P$22,2),HLOOKUP(T$6,СГИ!$Q$1:$AJ$2,2))),"",INDEX(СГИ!$Q$3:$AJ$22,VLOOKUP($Q16,СГИ!$O$3:$P$22,2),HLOOKUP(T$6,СГИ!$Q$1:$AJ$2,2)))=1,CONCATENATE("при измерении ",$Q16," ",T$6," не допускается ! "),"")</f>
      </c>
      <c r="U16" s="587">
        <f>IF(IF(ISNA(INDEX(СГИ!$Q$3:$AJ$22,VLOOKUP($Q16,СГИ!$O$3:$P$22,2),HLOOKUP(U$6,СГИ!$Q$1:$AJ$2,2))),"",INDEX(СГИ!$Q$3:$AJ$22,VLOOKUP($Q16,СГИ!$O$3:$P$22,2),HLOOKUP(U$6,СГИ!$Q$1:$AJ$2,2)))=1,CONCATENATE("при измерении ",$Q16," ",U$6," не допускается ! "),"")</f>
      </c>
      <c r="V16" s="587">
        <f>IF(IF(ISNA(INDEX(СГИ!$Q$3:$AJ$22,VLOOKUP($Q16,СГИ!$O$3:$P$22,2),HLOOKUP(V$6,СГИ!$Q$1:$AJ$2,2))),"",INDEX(СГИ!$Q$3:$AJ$22,VLOOKUP($Q16,СГИ!$O$3:$P$22,2),HLOOKUP(V$6,СГИ!$Q$1:$AJ$2,2)))=1,CONCATENATE("при измерении ",$Q16," ",V$6," не допускается ! "),"")</f>
      </c>
      <c r="W16" s="587">
        <f>IF(IF(ISNA(INDEX(СГИ!$Q$3:$AJ$22,VLOOKUP($Q16,СГИ!$O$3:$P$22,2),HLOOKUP(W$6,СГИ!$Q$1:$AJ$2,2))),"",INDEX(СГИ!$Q$3:$AJ$22,VLOOKUP($Q16,СГИ!$O$3:$P$22,2),HLOOKUP(W$6,СГИ!$Q$1:$AJ$2,2)))=1,CONCATENATE("при измерении ",$Q16," ",W$6," не допускается ! "),"")</f>
      </c>
      <c r="X16" s="587">
        <f>IF(IF(ISNA(INDEX(СГИ!$Q$3:$AJ$22,VLOOKUP($Q16,СГИ!$O$3:$P$22,2),HLOOKUP(X$6,СГИ!$Q$1:$AJ$2,2))),"",INDEX(СГИ!$Q$3:$AJ$22,VLOOKUP($Q16,СГИ!$O$3:$P$22,2),HLOOKUP(X$6,СГИ!$Q$1:$AJ$2,2)))=1,CONCATENATE("при измерении ",$Q16," ",X$6," не допускается ! "),"")</f>
      </c>
      <c r="Y16" s="587">
        <f>IF(IF(ISNA(INDEX(СГИ!$Q$3:$AJ$22,VLOOKUP($Q16,СГИ!$O$3:$P$22,2),HLOOKUP(Y$6,СГИ!$Q$1:$AJ$2,2))),"",INDEX(СГИ!$Q$3:$AJ$22,VLOOKUP($Q16,СГИ!$O$3:$P$22,2),HLOOKUP(Y$6,СГИ!$Q$1:$AJ$2,2)))=1,CONCATENATE("при измерении ",$Q16," ",Y$6," не допускается ! "),"")</f>
      </c>
      <c r="Z16" s="587">
        <f>IF(IF(ISNA(INDEX(СГИ!$Q$3:$AJ$22,VLOOKUP($Q16,СГИ!$O$3:$P$22,2),HLOOKUP(Z$6,СГИ!$Q$1:$AJ$2,2))),"",INDEX(СГИ!$Q$3:$AJ$22,VLOOKUP($Q16,СГИ!$O$3:$P$22,2),HLOOKUP(Z$6,СГИ!$Q$1:$AJ$2,2)))=1,CONCATENATE("при измерении ",$Q16," ",Z$6," не допускается ! "),"")</f>
      </c>
      <c r="AA16" s="587">
        <f>IF(IF(ISNA(INDEX(СГИ!$Q$3:$AJ$22,VLOOKUP($Q16,СГИ!$O$3:$P$22,2),HLOOKUP(AA$6,СГИ!$Q$1:$AJ$2,2))),"",INDEX(СГИ!$Q$3:$AJ$22,VLOOKUP($Q16,СГИ!$O$3:$P$22,2),HLOOKUP(AA$6,СГИ!$Q$1:$AJ$2,2)))=1,CONCATENATE("при измерении ",$Q16," ",AA$6," не допускается ! "),"")</f>
      </c>
      <c r="AB16" s="587">
        <f>IF(IF(ISNA(INDEX(СГИ!$Q$3:$AJ$22,VLOOKUP($Q16,СГИ!$O$3:$P$22,2),HLOOKUP(AB$6,СГИ!$Q$1:$AJ$2,2))),"",INDEX(СГИ!$Q$3:$AJ$22,VLOOKUP($Q16,СГИ!$O$3:$P$22,2),HLOOKUP(AB$6,СГИ!$Q$1:$AJ$2,2)))=1,CONCATENATE("при измерении ",$Q16," ",AB$6," не допускается ! "),"")</f>
      </c>
      <c r="AC16" s="587">
        <f>IF(IF(ISNA(INDEX(СГИ!$Q$3:$AJ$22,VLOOKUP($Q16,СГИ!$O$3:$P$22,2),HLOOKUP(AC$6,СГИ!$Q$1:$AJ$2,2))),"",INDEX(СГИ!$Q$3:$AJ$22,VLOOKUP($Q16,СГИ!$O$3:$P$22,2),HLOOKUP(AC$6,СГИ!$Q$1:$AJ$2,2)))=1,CONCATENATE("при измерении ",$Q16," ",AC$6," не допускается ! "),"")</f>
      </c>
      <c r="AD16" s="587">
        <f>IF(IF(ISNA(INDEX(СГИ!$Q$3:$AJ$22,VLOOKUP($Q16,СГИ!$O$3:$P$22,2),HLOOKUP(AD$6,СГИ!$Q$1:$AJ$2,2))),"",INDEX(СГИ!$Q$3:$AJ$22,VLOOKUP($Q16,СГИ!$O$3:$P$22,2),HLOOKUP(AD$6,СГИ!$Q$1:$AJ$2,2)))=1,CONCATENATE("при измерении ",$Q16," ",AD$6," не допускается ! "),"")</f>
      </c>
      <c r="AE16" s="587">
        <f>IF(IF(ISNA(INDEX(СГИ!$Q$3:$AJ$22,VLOOKUP($Q16,СГИ!$O$3:$P$22,2),HLOOKUP(AE$6,СГИ!$Q$1:$AJ$2,2))),"",INDEX(СГИ!$Q$3:$AJ$22,VLOOKUP($Q16,СГИ!$O$3:$P$22,2),HLOOKUP(AE$6,СГИ!$Q$1:$AJ$2,2)))=1,CONCATENATE("при измерении ",$Q16," ",AE$6," не допускается ! "),"")</f>
      </c>
      <c r="AF16" s="587">
        <f>IF(IF(ISNA(INDEX(СГИ!$Q$3:$AJ$22,VLOOKUP($Q16,СГИ!$O$3:$P$22,2),HLOOKUP(AF$6,СГИ!$Q$1:$AJ$2,2))),"",INDEX(СГИ!$Q$3:$AJ$22,VLOOKUP($Q16,СГИ!$O$3:$P$22,2),HLOOKUP(AF$6,СГИ!$Q$1:$AJ$2,2)))=1,CONCATENATE("при измерении ",$Q16," ",AF$6," не допускается ! "),"")</f>
      </c>
      <c r="AG16" s="587">
        <f>IF(IF(ISNA(INDEX(СГИ!$Q$3:$AJ$22,VLOOKUP($Q16,СГИ!$O$3:$P$22,2),HLOOKUP(AG$6,СГИ!$Q$1:$AJ$2,2))),"",INDEX(СГИ!$Q$3:$AJ$22,VLOOKUP($Q16,СГИ!$O$3:$P$22,2),HLOOKUP(AG$6,СГИ!$Q$1:$AJ$2,2)))=1,CONCATENATE("при измерении ",$Q16," ",AG$6," не допускается ! "),"")</f>
      </c>
      <c r="AH16" s="587">
        <f>IF(IF(ISNA(INDEX(СГИ!$Q$3:$AJ$22,VLOOKUP($Q16,СГИ!$O$3:$P$22,2),HLOOKUP(AH$6,СГИ!$Q$1:$AJ$2,2))),"",INDEX(СГИ!$Q$3:$AJ$22,VLOOKUP($Q16,СГИ!$O$3:$P$22,2),HLOOKUP(AH$6,СГИ!$Q$1:$AJ$2,2)))=1,CONCATENATE("при измерении ",$Q16," ",AH$6," не допускается ! "),"")</f>
      </c>
      <c r="AI16" s="615">
        <f>IF(IF(ISNA(INDEX(СГИ!$Q$3:$AJ$22,VLOOKUP($Q16,СГИ!$O$3:$P$22,2),HLOOKUP(AI$6,СГИ!$Q$1:$AJ$2,2))),"",INDEX(СГИ!$Q$3:$AJ$22,VLOOKUP($Q16,СГИ!$O$3:$P$22,2),HLOOKUP(AI$6,СГИ!$Q$1:$AJ$2,2)))=1,CONCATENATE("при измерении ",$Q16," ",AI$6," не допускается ! "),"")</f>
      </c>
      <c r="AJ16" s="1">
        <f t="shared" si="0"/>
      </c>
      <c r="AL16" s="807" t="s">
        <v>748</v>
      </c>
      <c r="AM16" s="1" t="s">
        <v>603</v>
      </c>
    </row>
    <row r="17" spans="1:39" ht="33" customHeight="1" thickBot="1">
      <c r="A17" s="575">
        <f>IF(OR('И21,И22-стационарные с вын. БД'!M8+SUM('И21,И22-стационарные с вын. БД'!M10:M12)&gt;MAX('И21,И22-стационарные с вын. БД'!M8,'И21,И22-стационарные с вын. БД'!M10:M12),'И21,И22-стационарные с вын. БД'!M9+SUM('И21,И22-стационарные с вын. БД'!M10:M12)&gt;MAX('И21,И22-стационарные с вын. БД'!M9,'И21,И22-стационарные с вын. БД'!M10:M12)),$I$7,"")</f>
      </c>
      <c r="B17" s="826" t="s">
        <v>645</v>
      </c>
      <c r="C17" s="575">
        <f>IF(MAX('И21,И22-стационарные с вын. БД'!D7:D24)&gt;3,$I$10,"")</f>
      </c>
      <c r="D17" s="826" t="s">
        <v>657</v>
      </c>
      <c r="G17" s="575">
        <f>IF(AND('И21,И22-стационарные с вын. БД'!P$7=1,OR('И21,И22-стационарные с вын. БД'!P$6=1,SUM('И21,И22-стационарные с вын. БД'!E$7:E$24)&gt;0)),$I$22,"")</f>
      </c>
      <c r="H17" s="847" t="s">
        <v>695</v>
      </c>
      <c r="I17" s="844" t="s">
        <v>318</v>
      </c>
      <c r="J17" s="850" t="s">
        <v>700</v>
      </c>
      <c r="K17" s="624"/>
      <c r="L17" s="561"/>
      <c r="M17" s="868">
        <f>'И21,И22-стационарные с вын. БД'!K17</f>
      </c>
      <c r="N17" s="492">
        <f>IF(SUM('И21,И22-стационарные с вын. БД'!$C$7:$C$24)&gt;8,IF(OR('И21,И22-стационарные с вын. БД'!B17="O3",'И21,И22-стационарные с вын. БД'!B17="F2"),"--",VLOOKUP('И21,И22-стационарные с вын. БД'!B17,СГИ!$A$8:$G$27,IF(N$6=сообщения!I$3,3,4),TRUE)+VLOOKUP('И21,И22-стационарные с вын. БД'!B17,СГИ!$A$8:$G$27,2,TRUE)),VLOOKUP('И21,И22-стационарные с вын. БД'!B17,СГИ!$A$8:$G$27,IF(N$6=сообщения!I$3,3,4),TRUE))</f>
        <v>10660</v>
      </c>
      <c r="O17" s="493">
        <f>IF('И21,И22-стационарные с вын. БД'!M17&gt;0,VLOOKUP(M17,СГИ!$A$8:$G$27,IF(N$6=сообщения!I$3,5,6),TRUE),"")</f>
      </c>
      <c r="P17" t="s">
        <v>305</v>
      </c>
      <c r="Q17" s="614">
        <f>IF(сообщения!M17="","",сообщения!M17)</f>
      </c>
      <c r="R17" s="587">
        <f>IF(IF(ISNA(INDEX(СГИ!$Q$3:$AJ$22,VLOOKUP($Q17,СГИ!$O$3:$P$22,2),HLOOKUP(R$6,СГИ!$Q$1:$AJ$2,2))),"",INDEX(СГИ!$Q$3:$AJ$22,VLOOKUP($Q17,СГИ!$O$3:$P$22,2),HLOOKUP(R$6,СГИ!$Q$1:$AJ$2,2)))=1,CONCATENATE("при измерении ",$Q17," ",R$6," не допускается ! "),"")</f>
      </c>
      <c r="S17" s="587">
        <f>IF(IF(ISNA(INDEX(СГИ!$Q$3:$AJ$22,VLOOKUP($Q17,СГИ!$O$3:$P$22,2),HLOOKUP(S$6,СГИ!$Q$1:$AJ$2,2))),"",INDEX(СГИ!$Q$3:$AJ$22,VLOOKUP($Q17,СГИ!$O$3:$P$22,2),HLOOKUP(S$6,СГИ!$Q$1:$AJ$2,2)))=1,CONCATENATE("при измерении ",$Q17," ",S$6," не допускается ! "),"")</f>
      </c>
      <c r="T17" s="587">
        <f>IF(IF(ISNA(INDEX(СГИ!$Q$3:$AJ$22,VLOOKUP($Q17,СГИ!$O$3:$P$22,2),HLOOKUP(T$6,СГИ!$Q$1:$AJ$2,2))),"",INDEX(СГИ!$Q$3:$AJ$22,VLOOKUP($Q17,СГИ!$O$3:$P$22,2),HLOOKUP(T$6,СГИ!$Q$1:$AJ$2,2)))=1,CONCATENATE("при измерении ",$Q17," ",T$6," не допускается ! "),"")</f>
      </c>
      <c r="U17" s="587">
        <f>IF(IF(ISNA(INDEX(СГИ!$Q$3:$AJ$22,VLOOKUP($Q17,СГИ!$O$3:$P$22,2),HLOOKUP(U$6,СГИ!$Q$1:$AJ$2,2))),"",INDEX(СГИ!$Q$3:$AJ$22,VLOOKUP($Q17,СГИ!$O$3:$P$22,2),HLOOKUP(U$6,СГИ!$Q$1:$AJ$2,2)))=1,CONCATENATE("при измерении ",$Q17," ",U$6," не допускается ! "),"")</f>
      </c>
      <c r="V17" s="587">
        <f>IF(IF(ISNA(INDEX(СГИ!$Q$3:$AJ$22,VLOOKUP($Q17,СГИ!$O$3:$P$22,2),HLOOKUP(V$6,СГИ!$Q$1:$AJ$2,2))),"",INDEX(СГИ!$Q$3:$AJ$22,VLOOKUP($Q17,СГИ!$O$3:$P$22,2),HLOOKUP(V$6,СГИ!$Q$1:$AJ$2,2)))=1,CONCATENATE("при измерении ",$Q17," ",V$6," не допускается ! "),"")</f>
      </c>
      <c r="W17" s="587">
        <f>IF(IF(ISNA(INDEX(СГИ!$Q$3:$AJ$22,VLOOKUP($Q17,СГИ!$O$3:$P$22,2),HLOOKUP(W$6,СГИ!$Q$1:$AJ$2,2))),"",INDEX(СГИ!$Q$3:$AJ$22,VLOOKUP($Q17,СГИ!$O$3:$P$22,2),HLOOKUP(W$6,СГИ!$Q$1:$AJ$2,2)))=1,CONCATENATE("при измерении ",$Q17," ",W$6," не допускается ! "),"")</f>
      </c>
      <c r="X17" s="587">
        <f>IF(IF(ISNA(INDEX(СГИ!$Q$3:$AJ$22,VLOOKUP($Q17,СГИ!$O$3:$P$22,2),HLOOKUP(X$6,СГИ!$Q$1:$AJ$2,2))),"",INDEX(СГИ!$Q$3:$AJ$22,VLOOKUP($Q17,СГИ!$O$3:$P$22,2),HLOOKUP(X$6,СГИ!$Q$1:$AJ$2,2)))=1,CONCATENATE("при измерении ",$Q17," ",X$6," не допускается ! "),"")</f>
      </c>
      <c r="Y17" s="587">
        <f>IF(IF(ISNA(INDEX(СГИ!$Q$3:$AJ$22,VLOOKUP($Q17,СГИ!$O$3:$P$22,2),HLOOKUP(Y$6,СГИ!$Q$1:$AJ$2,2))),"",INDEX(СГИ!$Q$3:$AJ$22,VLOOKUP($Q17,СГИ!$O$3:$P$22,2),HLOOKUP(Y$6,СГИ!$Q$1:$AJ$2,2)))=1,CONCATENATE("при измерении ",$Q17," ",Y$6," не допускается ! "),"")</f>
      </c>
      <c r="Z17" s="587">
        <f>IF(IF(ISNA(INDEX(СГИ!$Q$3:$AJ$22,VLOOKUP($Q17,СГИ!$O$3:$P$22,2),HLOOKUP(Z$6,СГИ!$Q$1:$AJ$2,2))),"",INDEX(СГИ!$Q$3:$AJ$22,VLOOKUP($Q17,СГИ!$O$3:$P$22,2),HLOOKUP(Z$6,СГИ!$Q$1:$AJ$2,2)))=1,CONCATENATE("при измерении ",$Q17," ",Z$6," не допускается ! "),"")</f>
      </c>
      <c r="AA17" s="587">
        <f>IF(IF(ISNA(INDEX(СГИ!$Q$3:$AJ$22,VLOOKUP($Q17,СГИ!$O$3:$P$22,2),HLOOKUP(AA$6,СГИ!$Q$1:$AJ$2,2))),"",INDEX(СГИ!$Q$3:$AJ$22,VLOOKUP($Q17,СГИ!$O$3:$P$22,2),HLOOKUP(AA$6,СГИ!$Q$1:$AJ$2,2)))=1,CONCATENATE("при измерении ",$Q17," ",AA$6," не допускается ! "),"")</f>
      </c>
      <c r="AB17" s="587">
        <f>IF(IF(ISNA(INDEX(СГИ!$Q$3:$AJ$22,VLOOKUP($Q17,СГИ!$O$3:$P$22,2),HLOOKUP(AB$6,СГИ!$Q$1:$AJ$2,2))),"",INDEX(СГИ!$Q$3:$AJ$22,VLOOKUP($Q17,СГИ!$O$3:$P$22,2),HLOOKUP(AB$6,СГИ!$Q$1:$AJ$2,2)))=1,CONCATENATE("при измерении ",$Q17," ",AB$6," не допускается ! "),"")</f>
      </c>
      <c r="AC17" s="587">
        <f>IF(IF(ISNA(INDEX(СГИ!$Q$3:$AJ$22,VLOOKUP($Q17,СГИ!$O$3:$P$22,2),HLOOKUP(AC$6,СГИ!$Q$1:$AJ$2,2))),"",INDEX(СГИ!$Q$3:$AJ$22,VLOOKUP($Q17,СГИ!$O$3:$P$22,2),HLOOKUP(AC$6,СГИ!$Q$1:$AJ$2,2)))=1,CONCATENATE("при измерении ",$Q17," ",AC$6," не допускается ! "),"")</f>
      </c>
      <c r="AD17" s="587">
        <f>IF(IF(ISNA(INDEX(СГИ!$Q$3:$AJ$22,VLOOKUP($Q17,СГИ!$O$3:$P$22,2),HLOOKUP(AD$6,СГИ!$Q$1:$AJ$2,2))),"",INDEX(СГИ!$Q$3:$AJ$22,VLOOKUP($Q17,СГИ!$O$3:$P$22,2),HLOOKUP(AD$6,СГИ!$Q$1:$AJ$2,2)))=1,CONCATENATE("при измерении ",$Q17," ",AD$6," не допускается ! "),"")</f>
      </c>
      <c r="AE17" s="587">
        <f>IF(IF(ISNA(INDEX(СГИ!$Q$3:$AJ$22,VLOOKUP($Q17,СГИ!$O$3:$P$22,2),HLOOKUP(AE$6,СГИ!$Q$1:$AJ$2,2))),"",INDEX(СГИ!$Q$3:$AJ$22,VLOOKUP($Q17,СГИ!$O$3:$P$22,2),HLOOKUP(AE$6,СГИ!$Q$1:$AJ$2,2)))=1,CONCATENATE("при измерении ",$Q17," ",AE$6," не допускается ! "),"")</f>
      </c>
      <c r="AF17" s="587">
        <f>IF(IF(ISNA(INDEX(СГИ!$Q$3:$AJ$22,VLOOKUP($Q17,СГИ!$O$3:$P$22,2),HLOOKUP(AF$6,СГИ!$Q$1:$AJ$2,2))),"",INDEX(СГИ!$Q$3:$AJ$22,VLOOKUP($Q17,СГИ!$O$3:$P$22,2),HLOOKUP(AF$6,СГИ!$Q$1:$AJ$2,2)))=1,CONCATENATE("при измерении ",$Q17," ",AF$6," не допускается ! "),"")</f>
      </c>
      <c r="AG17" s="587">
        <f>IF(IF(ISNA(INDEX(СГИ!$Q$3:$AJ$22,VLOOKUP($Q17,СГИ!$O$3:$P$22,2),HLOOKUP(AG$6,СГИ!$Q$1:$AJ$2,2))),"",INDEX(СГИ!$Q$3:$AJ$22,VLOOKUP($Q17,СГИ!$O$3:$P$22,2),HLOOKUP(AG$6,СГИ!$Q$1:$AJ$2,2)))=1,CONCATENATE("при измерении ",$Q17," ",AG$6," не допускается ! "),"")</f>
      </c>
      <c r="AH17" s="587">
        <f>IF(IF(ISNA(INDEX(СГИ!$Q$3:$AJ$22,VLOOKUP($Q17,СГИ!$O$3:$P$22,2),HLOOKUP(AH$6,СГИ!$Q$1:$AJ$2,2))),"",INDEX(СГИ!$Q$3:$AJ$22,VLOOKUP($Q17,СГИ!$O$3:$P$22,2),HLOOKUP(AH$6,СГИ!$Q$1:$AJ$2,2)))=1,CONCATENATE("при измерении ",$Q17," ",AH$6," не допускается ! "),"")</f>
      </c>
      <c r="AI17" s="615">
        <f>IF(IF(ISNA(INDEX(СГИ!$Q$3:$AJ$22,VLOOKUP($Q17,СГИ!$O$3:$P$22,2),HLOOKUP(AI$6,СГИ!$Q$1:$AJ$2,2))),"",INDEX(СГИ!$Q$3:$AJ$22,VLOOKUP($Q17,СГИ!$O$3:$P$22,2),HLOOKUP(AI$6,СГИ!$Q$1:$AJ$2,2)))=1,CONCATENATE("при измерении ",$Q17," ",AI$6," не допускается ! "),"")</f>
      </c>
      <c r="AJ17" s="1">
        <f t="shared" si="0"/>
      </c>
      <c r="AL17" s="807" t="s">
        <v>749</v>
      </c>
      <c r="AM17" s="1" t="s">
        <v>743</v>
      </c>
    </row>
    <row r="18" spans="1:39" ht="33" customHeight="1" thickBot="1">
      <c r="A18" s="575" t="str">
        <f>IF(A19="",IF('И21,И22-стационарные с вын. БД'!C26=0,$I$5,AJ6),A19)</f>
        <v>Укажите количества каналов измерения выбранных газов </v>
      </c>
      <c r="B18" s="826" t="s">
        <v>646</v>
      </c>
      <c r="C18" s="575">
        <f>IF(AND('И21,И22-стационарные с вын. БД'!I2=I2,OR('И21,И22-стационарные с вын. БД'!C21&gt;0,'И21,И22-стационарные с вын. БД'!C22&gt;0)),сообщения!I11,"")</f>
      </c>
      <c r="D18" s="826" t="s">
        <v>658</v>
      </c>
      <c r="E18" s="196"/>
      <c r="G18" s="575">
        <f>IF(AND('И21,И22-стационарные с вын. БД'!P$8=1,OR('И21,И22-стационарные с вын. БД'!P$6=1,SUM('И21,И22-стационарные с вын. БД'!E$7:E$24)&gt;0)),$I$23,"")</f>
      </c>
      <c r="H18" s="847" t="s">
        <v>696</v>
      </c>
      <c r="I18" s="915" t="s">
        <v>784</v>
      </c>
      <c r="J18" s="851" t="s">
        <v>699</v>
      </c>
      <c r="K18" s="624"/>
      <c r="L18" s="561"/>
      <c r="M18" s="868">
        <f>'И21,И22-стационарные с вын. БД'!K18</f>
      </c>
      <c r="N18" s="492">
        <f>IF(SUM('И21,И22-стационарные с вын. БД'!$C$7:$C$24)&gt;8,IF(OR('И21,И22-стационарные с вын. БД'!B18="O3",'И21,И22-стационарные с вын. БД'!B18="F2"),"--",VLOOKUP('И21,И22-стационарные с вын. БД'!B18,СГИ!$A$8:$G$27,IF(N$6=сообщения!I$3,3,4),TRUE)+VLOOKUP('И21,И22-стационарные с вын. БД'!B18,СГИ!$A$8:$G$27,2,TRUE)),VLOOKUP('И21,И22-стационарные с вын. БД'!B18,СГИ!$A$8:$G$27,IF(N$6=сообщения!I$3,3,4),TRUE))</f>
        <v>9740</v>
      </c>
      <c r="O18" s="493">
        <f>IF('И21,И22-стационарные с вын. БД'!M18&gt;0,VLOOKUP(M18,СГИ!$A$8:$G$27,IF(N$6=сообщения!I$3,5,6),TRUE),"")</f>
      </c>
      <c r="Q18" s="614">
        <f>IF(сообщения!M18="","",сообщения!M18)</f>
      </c>
      <c r="R18" s="587">
        <f>IF(IF(ISNA(INDEX(СГИ!$Q$3:$AJ$22,VLOOKUP($Q18,СГИ!$O$3:$P$22,2),HLOOKUP(R$6,СГИ!$Q$1:$AJ$2,2))),"",INDEX(СГИ!$Q$3:$AJ$22,VLOOKUP($Q18,СГИ!$O$3:$P$22,2),HLOOKUP(R$6,СГИ!$Q$1:$AJ$2,2)))=1,CONCATENATE("при измерении ",$Q18," ",R$6," не допускается ! "),"")</f>
      </c>
      <c r="S18" s="587">
        <f>IF(IF(ISNA(INDEX(СГИ!$Q$3:$AJ$22,VLOOKUP($Q18,СГИ!$O$3:$P$22,2),HLOOKUP(S$6,СГИ!$Q$1:$AJ$2,2))),"",INDEX(СГИ!$Q$3:$AJ$22,VLOOKUP($Q18,СГИ!$O$3:$P$22,2),HLOOKUP(S$6,СГИ!$Q$1:$AJ$2,2)))=1,CONCATENATE("при измерении ",$Q18," ",S$6," не допускается ! "),"")</f>
      </c>
      <c r="T18" s="587">
        <f>IF(IF(ISNA(INDEX(СГИ!$Q$3:$AJ$22,VLOOKUP($Q18,СГИ!$O$3:$P$22,2),HLOOKUP(T$6,СГИ!$Q$1:$AJ$2,2))),"",INDEX(СГИ!$Q$3:$AJ$22,VLOOKUP($Q18,СГИ!$O$3:$P$22,2),HLOOKUP(T$6,СГИ!$Q$1:$AJ$2,2)))=1,CONCATENATE("при измерении ",$Q18," ",T$6," не допускается ! "),"")</f>
      </c>
      <c r="U18" s="587">
        <f>IF(IF(ISNA(INDEX(СГИ!$Q$3:$AJ$22,VLOOKUP($Q18,СГИ!$O$3:$P$22,2),HLOOKUP(U$6,СГИ!$Q$1:$AJ$2,2))),"",INDEX(СГИ!$Q$3:$AJ$22,VLOOKUP($Q18,СГИ!$O$3:$P$22,2),HLOOKUP(U$6,СГИ!$Q$1:$AJ$2,2)))=1,CONCATENATE("при измерении ",$Q18," ",U$6," не допускается ! "),"")</f>
      </c>
      <c r="V18" s="587">
        <f>IF(IF(ISNA(INDEX(СГИ!$Q$3:$AJ$22,VLOOKUP($Q18,СГИ!$O$3:$P$22,2),HLOOKUP(V$6,СГИ!$Q$1:$AJ$2,2))),"",INDEX(СГИ!$Q$3:$AJ$22,VLOOKUP($Q18,СГИ!$O$3:$P$22,2),HLOOKUP(V$6,СГИ!$Q$1:$AJ$2,2)))=1,CONCATENATE("при измерении ",$Q18," ",V$6," не допускается ! "),"")</f>
      </c>
      <c r="W18" s="587">
        <f>IF(IF(ISNA(INDEX(СГИ!$Q$3:$AJ$22,VLOOKUP($Q18,СГИ!$O$3:$P$22,2),HLOOKUP(W$6,СГИ!$Q$1:$AJ$2,2))),"",INDEX(СГИ!$Q$3:$AJ$22,VLOOKUP($Q18,СГИ!$O$3:$P$22,2),HLOOKUP(W$6,СГИ!$Q$1:$AJ$2,2)))=1,CONCATENATE("при измерении ",$Q18," ",W$6," не допускается ! "),"")</f>
      </c>
      <c r="X18" s="587">
        <f>IF(IF(ISNA(INDEX(СГИ!$Q$3:$AJ$22,VLOOKUP($Q18,СГИ!$O$3:$P$22,2),HLOOKUP(X$6,СГИ!$Q$1:$AJ$2,2))),"",INDEX(СГИ!$Q$3:$AJ$22,VLOOKUP($Q18,СГИ!$O$3:$P$22,2),HLOOKUP(X$6,СГИ!$Q$1:$AJ$2,2)))=1,CONCATENATE("при измерении ",$Q18," ",X$6," не допускается ! "),"")</f>
      </c>
      <c r="Y18" s="587">
        <f>IF(IF(ISNA(INDEX(СГИ!$Q$3:$AJ$22,VLOOKUP($Q18,СГИ!$O$3:$P$22,2),HLOOKUP(Y$6,СГИ!$Q$1:$AJ$2,2))),"",INDEX(СГИ!$Q$3:$AJ$22,VLOOKUP($Q18,СГИ!$O$3:$P$22,2),HLOOKUP(Y$6,СГИ!$Q$1:$AJ$2,2)))=1,CONCATENATE("при измерении ",$Q18," ",Y$6," не допускается ! "),"")</f>
      </c>
      <c r="Z18" s="587">
        <f>IF(IF(ISNA(INDEX(СГИ!$Q$3:$AJ$22,VLOOKUP($Q18,СГИ!$O$3:$P$22,2),HLOOKUP(Z$6,СГИ!$Q$1:$AJ$2,2))),"",INDEX(СГИ!$Q$3:$AJ$22,VLOOKUP($Q18,СГИ!$O$3:$P$22,2),HLOOKUP(Z$6,СГИ!$Q$1:$AJ$2,2)))=1,CONCATENATE("при измерении ",$Q18," ",Z$6," не допускается ! "),"")</f>
      </c>
      <c r="AA18" s="587">
        <f>IF(IF(ISNA(INDEX(СГИ!$Q$3:$AJ$22,VLOOKUP($Q18,СГИ!$O$3:$P$22,2),HLOOKUP(AA$6,СГИ!$Q$1:$AJ$2,2))),"",INDEX(СГИ!$Q$3:$AJ$22,VLOOKUP($Q18,СГИ!$O$3:$P$22,2),HLOOKUP(AA$6,СГИ!$Q$1:$AJ$2,2)))=1,CONCATENATE("при измерении ",$Q18," ",AA$6," не допускается ! "),"")</f>
      </c>
      <c r="AB18" s="587">
        <f>IF(IF(ISNA(INDEX(СГИ!$Q$3:$AJ$22,VLOOKUP($Q18,СГИ!$O$3:$P$22,2),HLOOKUP(AB$6,СГИ!$Q$1:$AJ$2,2))),"",INDEX(СГИ!$Q$3:$AJ$22,VLOOKUP($Q18,СГИ!$O$3:$P$22,2),HLOOKUP(AB$6,СГИ!$Q$1:$AJ$2,2)))=1,CONCATENATE("при измерении ",$Q18," ",AB$6," не допускается ! "),"")</f>
      </c>
      <c r="AC18" s="587">
        <f>IF(IF(ISNA(INDEX(СГИ!$Q$3:$AJ$22,VLOOKUP($Q18,СГИ!$O$3:$P$22,2),HLOOKUP(AC$6,СГИ!$Q$1:$AJ$2,2))),"",INDEX(СГИ!$Q$3:$AJ$22,VLOOKUP($Q18,СГИ!$O$3:$P$22,2),HLOOKUP(AC$6,СГИ!$Q$1:$AJ$2,2)))=1,CONCATENATE("при измерении ",$Q18," ",AC$6," не допускается ! "),"")</f>
      </c>
      <c r="AD18" s="587">
        <f>IF(IF(ISNA(INDEX(СГИ!$Q$3:$AJ$22,VLOOKUP($Q18,СГИ!$O$3:$P$22,2),HLOOKUP(AD$6,СГИ!$Q$1:$AJ$2,2))),"",INDEX(СГИ!$Q$3:$AJ$22,VLOOKUP($Q18,СГИ!$O$3:$P$22,2),HLOOKUP(AD$6,СГИ!$Q$1:$AJ$2,2)))=1,CONCATENATE("при измерении ",$Q18," ",AD$6," не допускается ! "),"")</f>
      </c>
      <c r="AE18" s="587">
        <f>IF(IF(ISNA(INDEX(СГИ!$Q$3:$AJ$22,VLOOKUP($Q18,СГИ!$O$3:$P$22,2),HLOOKUP(AE$6,СГИ!$Q$1:$AJ$2,2))),"",INDEX(СГИ!$Q$3:$AJ$22,VLOOKUP($Q18,СГИ!$O$3:$P$22,2),HLOOKUP(AE$6,СГИ!$Q$1:$AJ$2,2)))=1,CONCATENATE("при измерении ",$Q18," ",AE$6," не допускается ! "),"")</f>
      </c>
      <c r="AF18" s="587">
        <f>IF(IF(ISNA(INDEX(СГИ!$Q$3:$AJ$22,VLOOKUP($Q18,СГИ!$O$3:$P$22,2),HLOOKUP(AF$6,СГИ!$Q$1:$AJ$2,2))),"",INDEX(СГИ!$Q$3:$AJ$22,VLOOKUP($Q18,СГИ!$O$3:$P$22,2),HLOOKUP(AF$6,СГИ!$Q$1:$AJ$2,2)))=1,CONCATENATE("при измерении ",$Q18," ",AF$6," не допускается ! "),"")</f>
      </c>
      <c r="AG18" s="587">
        <f>IF(IF(ISNA(INDEX(СГИ!$Q$3:$AJ$22,VLOOKUP($Q18,СГИ!$O$3:$P$22,2),HLOOKUP(AG$6,СГИ!$Q$1:$AJ$2,2))),"",INDEX(СГИ!$Q$3:$AJ$22,VLOOKUP($Q18,СГИ!$O$3:$P$22,2),HLOOKUP(AG$6,СГИ!$Q$1:$AJ$2,2)))=1,CONCATENATE("при измерении ",$Q18," ",AG$6," не допускается ! "),"")</f>
      </c>
      <c r="AH18" s="587">
        <f>IF(IF(ISNA(INDEX(СГИ!$Q$3:$AJ$22,VLOOKUP($Q18,СГИ!$O$3:$P$22,2),HLOOKUP(AH$6,СГИ!$Q$1:$AJ$2,2))),"",INDEX(СГИ!$Q$3:$AJ$22,VLOOKUP($Q18,СГИ!$O$3:$P$22,2),HLOOKUP(AH$6,СГИ!$Q$1:$AJ$2,2)))=1,CONCATENATE("при измерении ",$Q18," ",AH$6," не допускается ! "),"")</f>
      </c>
      <c r="AI18" s="615">
        <f>IF(IF(ISNA(INDEX(СГИ!$Q$3:$AJ$22,VLOOKUP($Q18,СГИ!$O$3:$P$22,2),HLOOKUP(AI$6,СГИ!$Q$1:$AJ$2,2))),"",INDEX(СГИ!$Q$3:$AJ$22,VLOOKUP($Q18,СГИ!$O$3:$P$22,2),HLOOKUP(AI$6,СГИ!$Q$1:$AJ$2,2)))=1,CONCATENATE("при измерении ",$Q18," ",AI$6," не допускается ! "),"")</f>
      </c>
      <c r="AJ18" s="1">
        <f t="shared" si="0"/>
      </c>
      <c r="AL18" s="807" t="s">
        <v>750</v>
      </c>
      <c r="AM18" s="1" t="s">
        <v>744</v>
      </c>
    </row>
    <row r="19" spans="1:38" ht="33" customHeight="1" thickBot="1">
      <c r="A19" s="575">
        <f>IF('И21,И22-стационарные с вын. БД'!I2="",I4,"")</f>
      </c>
      <c r="B19" s="826" t="s">
        <v>649</v>
      </c>
      <c r="E19" s="196" t="str">
        <f>IF(OR('И21,И22-стационарные с вын. БД'!P9=1,'И21,И22-стационарные с вын. БД'!P8=1),сообщения!AL9,сообщения!AL6)</f>
        <v>-/54</v>
      </c>
      <c r="G19" s="575"/>
      <c r="H19" s="847" t="s">
        <v>697</v>
      </c>
      <c r="I19" s="544" t="s">
        <v>564</v>
      </c>
      <c r="J19" s="1"/>
      <c r="K19" s="624"/>
      <c r="L19" s="561"/>
      <c r="M19" s="868">
        <f>'И21,И22-стационарные с вын. БД'!K19</f>
      </c>
      <c r="N19" s="492">
        <f>IF(SUM('И21,И22-стационарные с вын. БД'!$C$7:$C$24)&gt;8,IF(OR('И21,И22-стационарные с вын. БД'!B19="O3",'И21,И22-стационарные с вын. БД'!B19="F2"),"--",VLOOKUP('И21,И22-стационарные с вын. БД'!B19,СГИ!$A$8:$G$27,IF(N$6=сообщения!I$3,3,4),TRUE)+VLOOKUP('И21,И22-стационарные с вын. БД'!B19,СГИ!$A$8:$G$27,2,TRUE)),VLOOKUP('И21,И22-стационарные с вын. БД'!B19,СГИ!$A$8:$G$27,IF(N$6=сообщения!I$3,3,4),TRUE))</f>
        <v>11510</v>
      </c>
      <c r="O19" s="493">
        <f>IF('И21,И22-стационарные с вын. БД'!M19&gt;0,VLOOKUP(M19,СГИ!$A$8:$G$27,IF(N$6=сообщения!I$3,5,6),TRUE),"")</f>
      </c>
      <c r="Q19" s="614">
        <f>IF(сообщения!M19="","",сообщения!M19)</f>
      </c>
      <c r="R19" s="587">
        <f>IF(IF(ISNA(INDEX(СГИ!$Q$3:$AJ$22,VLOOKUP($Q19,СГИ!$O$3:$P$22,2),HLOOKUP(R$6,СГИ!$Q$1:$AJ$2,2))),"",INDEX(СГИ!$Q$3:$AJ$22,VLOOKUP($Q19,СГИ!$O$3:$P$22,2),HLOOKUP(R$6,СГИ!$Q$1:$AJ$2,2)))=1,CONCATENATE("при измерении ",$Q19," ",R$6," не допускается ! "),"")</f>
      </c>
      <c r="S19" s="587">
        <f>IF(IF(ISNA(INDEX(СГИ!$Q$3:$AJ$22,VLOOKUP($Q19,СГИ!$O$3:$P$22,2),HLOOKUP(S$6,СГИ!$Q$1:$AJ$2,2))),"",INDEX(СГИ!$Q$3:$AJ$22,VLOOKUP($Q19,СГИ!$O$3:$P$22,2),HLOOKUP(S$6,СГИ!$Q$1:$AJ$2,2)))=1,CONCATENATE("при измерении ",$Q19," ",S$6," не допускается ! "),"")</f>
      </c>
      <c r="T19" s="587">
        <f>IF(IF(ISNA(INDEX(СГИ!$Q$3:$AJ$22,VLOOKUP($Q19,СГИ!$O$3:$P$22,2),HLOOKUP(T$6,СГИ!$Q$1:$AJ$2,2))),"",INDEX(СГИ!$Q$3:$AJ$22,VLOOKUP($Q19,СГИ!$O$3:$P$22,2),HLOOKUP(T$6,СГИ!$Q$1:$AJ$2,2)))=1,CONCATENATE("при измерении ",$Q19," ",T$6," не допускается ! "),"")</f>
      </c>
      <c r="U19" s="587">
        <f>IF(IF(ISNA(INDEX(СГИ!$Q$3:$AJ$22,VLOOKUP($Q19,СГИ!$O$3:$P$22,2),HLOOKUP(U$6,СГИ!$Q$1:$AJ$2,2))),"",INDEX(СГИ!$Q$3:$AJ$22,VLOOKUP($Q19,СГИ!$O$3:$P$22,2),HLOOKUP(U$6,СГИ!$Q$1:$AJ$2,2)))=1,CONCATENATE("при измерении ",$Q19," ",U$6," не допускается ! "),"")</f>
      </c>
      <c r="V19" s="587">
        <f>IF(IF(ISNA(INDEX(СГИ!$Q$3:$AJ$22,VLOOKUP($Q19,СГИ!$O$3:$P$22,2),HLOOKUP(V$6,СГИ!$Q$1:$AJ$2,2))),"",INDEX(СГИ!$Q$3:$AJ$22,VLOOKUP($Q19,СГИ!$O$3:$P$22,2),HLOOKUP(V$6,СГИ!$Q$1:$AJ$2,2)))=1,CONCATENATE("при измерении ",$Q19," ",V$6," не допускается ! "),"")</f>
      </c>
      <c r="W19" s="587">
        <f>IF(IF(ISNA(INDEX(СГИ!$Q$3:$AJ$22,VLOOKUP($Q19,СГИ!$O$3:$P$22,2),HLOOKUP(W$6,СГИ!$Q$1:$AJ$2,2))),"",INDEX(СГИ!$Q$3:$AJ$22,VLOOKUP($Q19,СГИ!$O$3:$P$22,2),HLOOKUP(W$6,СГИ!$Q$1:$AJ$2,2)))=1,CONCATENATE("при измерении ",$Q19," ",W$6," не допускается ! "),"")</f>
      </c>
      <c r="X19" s="587">
        <f>IF(IF(ISNA(INDEX(СГИ!$Q$3:$AJ$22,VLOOKUP($Q19,СГИ!$O$3:$P$22,2),HLOOKUP(X$6,СГИ!$Q$1:$AJ$2,2))),"",INDEX(СГИ!$Q$3:$AJ$22,VLOOKUP($Q19,СГИ!$O$3:$P$22,2),HLOOKUP(X$6,СГИ!$Q$1:$AJ$2,2)))=1,CONCATENATE("при измерении ",$Q19," ",X$6," не допускается ! "),"")</f>
      </c>
      <c r="Y19" s="587">
        <f>IF(IF(ISNA(INDEX(СГИ!$Q$3:$AJ$22,VLOOKUP($Q19,СГИ!$O$3:$P$22,2),HLOOKUP(Y$6,СГИ!$Q$1:$AJ$2,2))),"",INDEX(СГИ!$Q$3:$AJ$22,VLOOKUP($Q19,СГИ!$O$3:$P$22,2),HLOOKUP(Y$6,СГИ!$Q$1:$AJ$2,2)))=1,CONCATENATE("при измерении ",$Q19," ",Y$6," не допускается ! "),"")</f>
      </c>
      <c r="Z19" s="587">
        <f>IF(IF(ISNA(INDEX(СГИ!$Q$3:$AJ$22,VLOOKUP($Q19,СГИ!$O$3:$P$22,2),HLOOKUP(Z$6,СГИ!$Q$1:$AJ$2,2))),"",INDEX(СГИ!$Q$3:$AJ$22,VLOOKUP($Q19,СГИ!$O$3:$P$22,2),HLOOKUP(Z$6,СГИ!$Q$1:$AJ$2,2)))=1,CONCATENATE("при измерении ",$Q19," ",Z$6," не допускается ! "),"")</f>
      </c>
      <c r="AA19" s="587">
        <f>IF(IF(ISNA(INDEX(СГИ!$Q$3:$AJ$22,VLOOKUP($Q19,СГИ!$O$3:$P$22,2),HLOOKUP(AA$6,СГИ!$Q$1:$AJ$2,2))),"",INDEX(СГИ!$Q$3:$AJ$22,VLOOKUP($Q19,СГИ!$O$3:$P$22,2),HLOOKUP(AA$6,СГИ!$Q$1:$AJ$2,2)))=1,CONCATENATE("при измерении ",$Q19," ",AA$6," не допускается ! "),"")</f>
      </c>
      <c r="AB19" s="587">
        <f>IF(IF(ISNA(INDEX(СГИ!$Q$3:$AJ$22,VLOOKUP($Q19,СГИ!$O$3:$P$22,2),HLOOKUP(AB$6,СГИ!$Q$1:$AJ$2,2))),"",INDEX(СГИ!$Q$3:$AJ$22,VLOOKUP($Q19,СГИ!$O$3:$P$22,2),HLOOKUP(AB$6,СГИ!$Q$1:$AJ$2,2)))=1,CONCATENATE("при измерении ",$Q19," ",AB$6," не допускается ! "),"")</f>
      </c>
      <c r="AC19" s="587">
        <f>IF(IF(ISNA(INDEX(СГИ!$Q$3:$AJ$22,VLOOKUP($Q19,СГИ!$O$3:$P$22,2),HLOOKUP(AC$6,СГИ!$Q$1:$AJ$2,2))),"",INDEX(СГИ!$Q$3:$AJ$22,VLOOKUP($Q19,СГИ!$O$3:$P$22,2),HLOOKUP(AC$6,СГИ!$Q$1:$AJ$2,2)))=1,CONCATENATE("при измерении ",$Q19," ",AC$6," не допускается ! "),"")</f>
      </c>
      <c r="AD19" s="587">
        <f>IF(IF(ISNA(INDEX(СГИ!$Q$3:$AJ$22,VLOOKUP($Q19,СГИ!$O$3:$P$22,2),HLOOKUP(AD$6,СГИ!$Q$1:$AJ$2,2))),"",INDEX(СГИ!$Q$3:$AJ$22,VLOOKUP($Q19,СГИ!$O$3:$P$22,2),HLOOKUP(AD$6,СГИ!$Q$1:$AJ$2,2)))=1,CONCATENATE("при измерении ",$Q19," ",AD$6," не допускается ! "),"")</f>
      </c>
      <c r="AE19" s="587">
        <f>IF(IF(ISNA(INDEX(СГИ!$Q$3:$AJ$22,VLOOKUP($Q19,СГИ!$O$3:$P$22,2),HLOOKUP(AE$6,СГИ!$Q$1:$AJ$2,2))),"",INDEX(СГИ!$Q$3:$AJ$22,VLOOKUP($Q19,СГИ!$O$3:$P$22,2),HLOOKUP(AE$6,СГИ!$Q$1:$AJ$2,2)))=1,CONCATENATE("при измерении ",$Q19," ",AE$6," не допускается ! "),"")</f>
      </c>
      <c r="AF19" s="587">
        <f>IF(IF(ISNA(INDEX(СГИ!$Q$3:$AJ$22,VLOOKUP($Q19,СГИ!$O$3:$P$22,2),HLOOKUP(AF$6,СГИ!$Q$1:$AJ$2,2))),"",INDEX(СГИ!$Q$3:$AJ$22,VLOOKUP($Q19,СГИ!$O$3:$P$22,2),HLOOKUP(AF$6,СГИ!$Q$1:$AJ$2,2)))=1,CONCATENATE("при измерении ",$Q19," ",AF$6," не допускается ! "),"")</f>
      </c>
      <c r="AG19" s="587">
        <f>IF(IF(ISNA(INDEX(СГИ!$Q$3:$AJ$22,VLOOKUP($Q19,СГИ!$O$3:$P$22,2),HLOOKUP(AG$6,СГИ!$Q$1:$AJ$2,2))),"",INDEX(СГИ!$Q$3:$AJ$22,VLOOKUP($Q19,СГИ!$O$3:$P$22,2),HLOOKUP(AG$6,СГИ!$Q$1:$AJ$2,2)))=1,CONCATENATE("при измерении ",$Q19," ",AG$6," не допускается ! "),"")</f>
      </c>
      <c r="AH19" s="587">
        <f>IF(IF(ISNA(INDEX(СГИ!$Q$3:$AJ$22,VLOOKUP($Q19,СГИ!$O$3:$P$22,2),HLOOKUP(AH$6,СГИ!$Q$1:$AJ$2,2))),"",INDEX(СГИ!$Q$3:$AJ$22,VLOOKUP($Q19,СГИ!$O$3:$P$22,2),HLOOKUP(AH$6,СГИ!$Q$1:$AJ$2,2)))=1,CONCATENATE("при измерении ",$Q19," ",AH$6," не допускается ! "),"")</f>
      </c>
      <c r="AI19" s="615">
        <f>IF(IF(ISNA(INDEX(СГИ!$Q$3:$AJ$22,VLOOKUP($Q19,СГИ!$O$3:$P$22,2),HLOOKUP(AI$6,СГИ!$Q$1:$AJ$2,2))),"",INDEX(СГИ!$Q$3:$AJ$22,VLOOKUP($Q19,СГИ!$O$3:$P$22,2),HLOOKUP(AI$6,СГИ!$Q$1:$AJ$2,2)))=1,CONCATENATE("при измерении ",$Q19," ",AI$6," не допускается ! "),"")</f>
      </c>
      <c r="AJ19" s="1">
        <f t="shared" si="0"/>
      </c>
      <c r="AL19" s="807" t="s">
        <v>607</v>
      </c>
    </row>
    <row r="20" spans="2:39" ht="33" customHeight="1" thickBot="1">
      <c r="B20" s="826"/>
      <c r="E20" s="196"/>
      <c r="G20" s="575">
        <f>IF(DCOUNTA('И21,И22-стационарные с вын. БД'!N$6:N$24,'И21,И22-стационарные с вын. БД'!N$6,I$17:I$18)=0,"",$I$26)</f>
      </c>
      <c r="H20" s="847" t="s">
        <v>862</v>
      </c>
      <c r="I20" s="544" t="s">
        <v>557</v>
      </c>
      <c r="J20" s="1"/>
      <c r="K20" s="750" t="s">
        <v>571</v>
      </c>
      <c r="L20" s="864">
        <f>SUM(L6:L15)</f>
        <v>0</v>
      </c>
      <c r="M20" s="868">
        <f>'И21,И22-стационарные с вын. БД'!K20</f>
      </c>
      <c r="N20" s="492">
        <f>IF(SUM('И21,И22-стационарные с вын. БД'!$C$7:$C$24)&gt;8,IF(OR('И21,И22-стационарные с вын. БД'!B20="O3",'И21,И22-стационарные с вын. БД'!B20="F2"),"--",VLOOKUP('И21,И22-стационарные с вын. БД'!B20,СГИ!$A$8:$G$27,IF(N$6=сообщения!I$3,3,4),TRUE)+VLOOKUP('И21,И22-стационарные с вын. БД'!B20,СГИ!$A$8:$G$27,2,TRUE)),VLOOKUP('И21,И22-стационарные с вын. БД'!B20,СГИ!$A$8:$G$27,IF(N$6=сообщения!I$3,3,4),TRUE))</f>
        <v>26560</v>
      </c>
      <c r="O20" s="493">
        <f>IF('И21,И22-стационарные с вын. БД'!M20&gt;0,VLOOKUP(M20,СГИ!$A$8:$G$27,IF(N$6=сообщения!I$3,5,6),TRUE),"")</f>
      </c>
      <c r="Q20" s="614">
        <f>IF(сообщения!M20="","",сообщения!M20)</f>
      </c>
      <c r="R20" s="587">
        <f>IF(IF(ISNA(INDEX(СГИ!$Q$3:$AJ$22,VLOOKUP($Q20,СГИ!$O$3:$P$22,2),HLOOKUP(R$6,СГИ!$Q$1:$AJ$2,2))),"",INDEX(СГИ!$Q$3:$AJ$22,VLOOKUP($Q20,СГИ!$O$3:$P$22,2),HLOOKUP(R$6,СГИ!$Q$1:$AJ$2,2)))=1,CONCATENATE("при измерении ",$Q20," ",R$6," не допускается ! "),"")</f>
      </c>
      <c r="S20" s="587">
        <f>IF(IF(ISNA(INDEX(СГИ!$Q$3:$AJ$22,VLOOKUP($Q20,СГИ!$O$3:$P$22,2),HLOOKUP(S$6,СГИ!$Q$1:$AJ$2,2))),"",INDEX(СГИ!$Q$3:$AJ$22,VLOOKUP($Q20,СГИ!$O$3:$P$22,2),HLOOKUP(S$6,СГИ!$Q$1:$AJ$2,2)))=1,CONCATENATE("при измерении ",$Q20," ",S$6," не допускается ! "),"")</f>
      </c>
      <c r="T20" s="587">
        <f>IF(IF(ISNA(INDEX(СГИ!$Q$3:$AJ$22,VLOOKUP($Q20,СГИ!$O$3:$P$22,2),HLOOKUP(T$6,СГИ!$Q$1:$AJ$2,2))),"",INDEX(СГИ!$Q$3:$AJ$22,VLOOKUP($Q20,СГИ!$O$3:$P$22,2),HLOOKUP(T$6,СГИ!$Q$1:$AJ$2,2)))=1,CONCATENATE("при измерении ",$Q20," ",T$6," не допускается ! "),"")</f>
      </c>
      <c r="U20" s="587">
        <f>IF(IF(ISNA(INDEX(СГИ!$Q$3:$AJ$22,VLOOKUP($Q20,СГИ!$O$3:$P$22,2),HLOOKUP(U$6,СГИ!$Q$1:$AJ$2,2))),"",INDEX(СГИ!$Q$3:$AJ$22,VLOOKUP($Q20,СГИ!$O$3:$P$22,2),HLOOKUP(U$6,СГИ!$Q$1:$AJ$2,2)))=1,CONCATENATE("при измерении ",$Q20," ",U$6," не допускается ! "),"")</f>
      </c>
      <c r="V20" s="587">
        <f>IF(IF(ISNA(INDEX(СГИ!$Q$3:$AJ$22,VLOOKUP($Q20,СГИ!$O$3:$P$22,2),HLOOKUP(V$6,СГИ!$Q$1:$AJ$2,2))),"",INDEX(СГИ!$Q$3:$AJ$22,VLOOKUP($Q20,СГИ!$O$3:$P$22,2),HLOOKUP(V$6,СГИ!$Q$1:$AJ$2,2)))=1,CONCATENATE("при измерении ",$Q20," ",V$6," не допускается ! "),"")</f>
      </c>
      <c r="W20" s="587">
        <f>IF(IF(ISNA(INDEX(СГИ!$Q$3:$AJ$22,VLOOKUP($Q20,СГИ!$O$3:$P$22,2),HLOOKUP(W$6,СГИ!$Q$1:$AJ$2,2))),"",INDEX(СГИ!$Q$3:$AJ$22,VLOOKUP($Q20,СГИ!$O$3:$P$22,2),HLOOKUP(W$6,СГИ!$Q$1:$AJ$2,2)))=1,CONCATENATE("при измерении ",$Q20," ",W$6," не допускается ! "),"")</f>
      </c>
      <c r="X20" s="587">
        <f>IF(IF(ISNA(INDEX(СГИ!$Q$3:$AJ$22,VLOOKUP($Q20,СГИ!$O$3:$P$22,2),HLOOKUP(X$6,СГИ!$Q$1:$AJ$2,2))),"",INDEX(СГИ!$Q$3:$AJ$22,VLOOKUP($Q20,СГИ!$O$3:$P$22,2),HLOOKUP(X$6,СГИ!$Q$1:$AJ$2,2)))=1,CONCATENATE("при измерении ",$Q20," ",X$6," не допускается ! "),"")</f>
      </c>
      <c r="Y20" s="587">
        <f>IF(IF(ISNA(INDEX(СГИ!$Q$3:$AJ$22,VLOOKUP($Q20,СГИ!$O$3:$P$22,2),HLOOKUP(Y$6,СГИ!$Q$1:$AJ$2,2))),"",INDEX(СГИ!$Q$3:$AJ$22,VLOOKUP($Q20,СГИ!$O$3:$P$22,2),HLOOKUP(Y$6,СГИ!$Q$1:$AJ$2,2)))=1,CONCATENATE("при измерении ",$Q20," ",Y$6," не допускается ! "),"")</f>
      </c>
      <c r="Z20" s="587">
        <f>IF(IF(ISNA(INDEX(СГИ!$Q$3:$AJ$22,VLOOKUP($Q20,СГИ!$O$3:$P$22,2),HLOOKUP(Z$6,СГИ!$Q$1:$AJ$2,2))),"",INDEX(СГИ!$Q$3:$AJ$22,VLOOKUP($Q20,СГИ!$O$3:$P$22,2),HLOOKUP(Z$6,СГИ!$Q$1:$AJ$2,2)))=1,CONCATENATE("при измерении ",$Q20," ",Z$6," не допускается ! "),"")</f>
      </c>
      <c r="AA20" s="587">
        <f>IF(IF(ISNA(INDEX(СГИ!$Q$3:$AJ$22,VLOOKUP($Q20,СГИ!$O$3:$P$22,2),HLOOKUP(AA$6,СГИ!$Q$1:$AJ$2,2))),"",INDEX(СГИ!$Q$3:$AJ$22,VLOOKUP($Q20,СГИ!$O$3:$P$22,2),HLOOKUP(AA$6,СГИ!$Q$1:$AJ$2,2)))=1,CONCATENATE("при измерении ",$Q20," ",AA$6," не допускается ! "),"")</f>
      </c>
      <c r="AB20" s="587">
        <f>IF(IF(ISNA(INDEX(СГИ!$Q$3:$AJ$22,VLOOKUP($Q20,СГИ!$O$3:$P$22,2),HLOOKUP(AB$6,СГИ!$Q$1:$AJ$2,2))),"",INDEX(СГИ!$Q$3:$AJ$22,VLOOKUP($Q20,СГИ!$O$3:$P$22,2),HLOOKUP(AB$6,СГИ!$Q$1:$AJ$2,2)))=1,CONCATENATE("при измерении ",$Q20," ",AB$6," не допускается ! "),"")</f>
      </c>
      <c r="AC20" s="587">
        <f>IF(IF(ISNA(INDEX(СГИ!$Q$3:$AJ$22,VLOOKUP($Q20,СГИ!$O$3:$P$22,2),HLOOKUP(AC$6,СГИ!$Q$1:$AJ$2,2))),"",INDEX(СГИ!$Q$3:$AJ$22,VLOOKUP($Q20,СГИ!$O$3:$P$22,2),HLOOKUP(AC$6,СГИ!$Q$1:$AJ$2,2)))=1,CONCATENATE("при измерении ",$Q20," ",AC$6," не допускается ! "),"")</f>
      </c>
      <c r="AD20" s="587">
        <f>IF(IF(ISNA(INDEX(СГИ!$Q$3:$AJ$22,VLOOKUP($Q20,СГИ!$O$3:$P$22,2),HLOOKUP(AD$6,СГИ!$Q$1:$AJ$2,2))),"",INDEX(СГИ!$Q$3:$AJ$22,VLOOKUP($Q20,СГИ!$O$3:$P$22,2),HLOOKUP(AD$6,СГИ!$Q$1:$AJ$2,2)))=1,CONCATENATE("при измерении ",$Q20," ",AD$6," не допускается ! "),"")</f>
      </c>
      <c r="AE20" s="587">
        <f>IF(IF(ISNA(INDEX(СГИ!$Q$3:$AJ$22,VLOOKUP($Q20,СГИ!$O$3:$P$22,2),HLOOKUP(AE$6,СГИ!$Q$1:$AJ$2,2))),"",INDEX(СГИ!$Q$3:$AJ$22,VLOOKUP($Q20,СГИ!$O$3:$P$22,2),HLOOKUP(AE$6,СГИ!$Q$1:$AJ$2,2)))=1,CONCATENATE("при измерении ",$Q20," ",AE$6," не допускается ! "),"")</f>
      </c>
      <c r="AF20" s="587">
        <f>IF(IF(ISNA(INDEX(СГИ!$Q$3:$AJ$22,VLOOKUP($Q20,СГИ!$O$3:$P$22,2),HLOOKUP(AF$6,СГИ!$Q$1:$AJ$2,2))),"",INDEX(СГИ!$Q$3:$AJ$22,VLOOKUP($Q20,СГИ!$O$3:$P$22,2),HLOOKUP(AF$6,СГИ!$Q$1:$AJ$2,2)))=1,CONCATENATE("при измерении ",$Q20," ",AF$6," не допускается ! "),"")</f>
      </c>
      <c r="AG20" s="587">
        <f>IF(IF(ISNA(INDEX(СГИ!$Q$3:$AJ$22,VLOOKUP($Q20,СГИ!$O$3:$P$22,2),HLOOKUP(AG$6,СГИ!$Q$1:$AJ$2,2))),"",INDEX(СГИ!$Q$3:$AJ$22,VLOOKUP($Q20,СГИ!$O$3:$P$22,2),HLOOKUP(AG$6,СГИ!$Q$1:$AJ$2,2)))=1,CONCATENATE("при измерении ",$Q20," ",AG$6," не допускается ! "),"")</f>
      </c>
      <c r="AH20" s="587">
        <f>IF(IF(ISNA(INDEX(СГИ!$Q$3:$AJ$22,VLOOKUP($Q20,СГИ!$O$3:$P$22,2),HLOOKUP(AH$6,СГИ!$Q$1:$AJ$2,2))),"",INDEX(СГИ!$Q$3:$AJ$22,VLOOKUP($Q20,СГИ!$O$3:$P$22,2),HLOOKUP(AH$6,СГИ!$Q$1:$AJ$2,2)))=1,CONCATENATE("при измерении ",$Q20," ",AH$6," не допускается ! "),"")</f>
      </c>
      <c r="AI20" s="615">
        <f>IF(IF(ISNA(INDEX(СГИ!$Q$3:$AJ$22,VLOOKUP($Q20,СГИ!$O$3:$P$22,2),HLOOKUP(AI$6,СГИ!$Q$1:$AJ$2,2))),"",INDEX(СГИ!$Q$3:$AJ$22,VLOOKUP($Q20,СГИ!$O$3:$P$22,2),HLOOKUP(AI$6,СГИ!$Q$1:$AJ$2,2)))=1,CONCATENATE("при измерении ",$Q20," ",AI$6," не допускается ! "),"")</f>
      </c>
      <c r="AJ20" s="1">
        <f t="shared" si="0"/>
      </c>
      <c r="AL20" s="1">
        <v>1</v>
      </c>
      <c r="AM20" s="1" t="s">
        <v>611</v>
      </c>
    </row>
    <row r="21" spans="1:39" ht="33" customHeight="1" thickBot="1">
      <c r="A21" s="826" t="s">
        <v>679</v>
      </c>
      <c r="E21" s="196"/>
      <c r="G21" s="575">
        <f>IF(AND('И21,И22-стационарные с вын. БД'!P6&gt;0,'И21,И22-стационарные с вын. БД'!P9&gt;0),$I$24,"")</f>
      </c>
      <c r="H21" s="847" t="s">
        <v>863</v>
      </c>
      <c r="I21" s="544" t="s">
        <v>728</v>
      </c>
      <c r="J21" s="497"/>
      <c r="K21" s="787" t="s">
        <v>523</v>
      </c>
      <c r="L21" s="863">
        <f>IF('И21,И22-стационарные с вын. БД'!I10="--",0,'И21,И22-стационарные с вын. БД'!I10*СГИ!$C60)</f>
        <v>0</v>
      </c>
      <c r="M21" s="868">
        <f>'И21,И22-стационарные с вын. БД'!K21</f>
      </c>
      <c r="N21" s="492">
        <f>IF(SUM('И21,И22-стационарные с вын. БД'!$C$7:$C$24)&gt;8,IF(OR('И21,И22-стационарные с вын. БД'!B21="O3",'И21,И22-стационарные с вын. БД'!B21="F2"),"--",VLOOKUP('И21,И22-стационарные с вын. БД'!B21,СГИ!$A$8:$G$27,IF(N$6=сообщения!I$3,3,4),TRUE)+VLOOKUP('И21,И22-стационарные с вын. БД'!B21,СГИ!$A$8:$G$27,2,TRUE)),VLOOKUP('И21,И22-стационарные с вын. БД'!B21,СГИ!$A$8:$G$27,IF(N$6=сообщения!I$3,3,4),TRUE))</f>
        <v>13870</v>
      </c>
      <c r="O21" s="493">
        <f>IF('И21,И22-стационарные с вын. БД'!M21&gt;0,VLOOKUP(M21,СГИ!$A$8:$G$27,IF(N$6=сообщения!I$3,5,6),TRUE),"")</f>
      </c>
      <c r="Q21" s="614">
        <f>IF(сообщения!M21="","",сообщения!M21)</f>
      </c>
      <c r="R21" s="587">
        <f>IF(IF(ISNA(INDEX(СГИ!$Q$3:$AJ$22,VLOOKUP($Q21,СГИ!$O$3:$P$22,2),HLOOKUP(R$6,СГИ!$Q$1:$AJ$2,2))),"",INDEX(СГИ!$Q$3:$AJ$22,VLOOKUP($Q21,СГИ!$O$3:$P$22,2),HLOOKUP(R$6,СГИ!$Q$1:$AJ$2,2)))=1,CONCATENATE("при измерении ",$Q21," ",R$6," не допускается ! "),"")</f>
      </c>
      <c r="S21" s="587">
        <f>IF(IF(ISNA(INDEX(СГИ!$Q$3:$AJ$22,VLOOKUP($Q21,СГИ!$O$3:$P$22,2),HLOOKUP(S$6,СГИ!$Q$1:$AJ$2,2))),"",INDEX(СГИ!$Q$3:$AJ$22,VLOOKUP($Q21,СГИ!$O$3:$P$22,2),HLOOKUP(S$6,СГИ!$Q$1:$AJ$2,2)))=1,CONCATENATE("при измерении ",$Q21," ",S$6," не допускается ! "),"")</f>
      </c>
      <c r="T21" s="587">
        <f>IF(IF(ISNA(INDEX(СГИ!$Q$3:$AJ$22,VLOOKUP($Q21,СГИ!$O$3:$P$22,2),HLOOKUP(T$6,СГИ!$Q$1:$AJ$2,2))),"",INDEX(СГИ!$Q$3:$AJ$22,VLOOKUP($Q21,СГИ!$O$3:$P$22,2),HLOOKUP(T$6,СГИ!$Q$1:$AJ$2,2)))=1,CONCATENATE("при измерении ",$Q21," ",T$6," не допускается ! "),"")</f>
      </c>
      <c r="U21" s="587">
        <f>IF(IF(ISNA(INDEX(СГИ!$Q$3:$AJ$22,VLOOKUP($Q21,СГИ!$O$3:$P$22,2),HLOOKUP(U$6,СГИ!$Q$1:$AJ$2,2))),"",INDEX(СГИ!$Q$3:$AJ$22,VLOOKUP($Q21,СГИ!$O$3:$P$22,2),HLOOKUP(U$6,СГИ!$Q$1:$AJ$2,2)))=1,CONCATENATE("при измерении ",$Q21," ",U$6," не допускается ! "),"")</f>
      </c>
      <c r="V21" s="587">
        <f>IF(IF(ISNA(INDEX(СГИ!$Q$3:$AJ$22,VLOOKUP($Q21,СГИ!$O$3:$P$22,2),HLOOKUP(V$6,СГИ!$Q$1:$AJ$2,2))),"",INDEX(СГИ!$Q$3:$AJ$22,VLOOKUP($Q21,СГИ!$O$3:$P$22,2),HLOOKUP(V$6,СГИ!$Q$1:$AJ$2,2)))=1,CONCATENATE("при измерении ",$Q21," ",V$6," не допускается ! "),"")</f>
      </c>
      <c r="W21" s="587">
        <f>IF(IF(ISNA(INDEX(СГИ!$Q$3:$AJ$22,VLOOKUP($Q21,СГИ!$O$3:$P$22,2),HLOOKUP(W$6,СГИ!$Q$1:$AJ$2,2))),"",INDEX(СГИ!$Q$3:$AJ$22,VLOOKUP($Q21,СГИ!$O$3:$P$22,2),HLOOKUP(W$6,СГИ!$Q$1:$AJ$2,2)))=1,CONCATENATE("при измерении ",$Q21," ",W$6," не допускается ! "),"")</f>
      </c>
      <c r="X21" s="587">
        <f>IF(IF(ISNA(INDEX(СГИ!$Q$3:$AJ$22,VLOOKUP($Q21,СГИ!$O$3:$P$22,2),HLOOKUP(X$6,СГИ!$Q$1:$AJ$2,2))),"",INDEX(СГИ!$Q$3:$AJ$22,VLOOKUP($Q21,СГИ!$O$3:$P$22,2),HLOOKUP(X$6,СГИ!$Q$1:$AJ$2,2)))=1,CONCATENATE("при измерении ",$Q21," ",X$6," не допускается ! "),"")</f>
      </c>
      <c r="Y21" s="587">
        <f>IF(IF(ISNA(INDEX(СГИ!$Q$3:$AJ$22,VLOOKUP($Q21,СГИ!$O$3:$P$22,2),HLOOKUP(Y$6,СГИ!$Q$1:$AJ$2,2))),"",INDEX(СГИ!$Q$3:$AJ$22,VLOOKUP($Q21,СГИ!$O$3:$P$22,2),HLOOKUP(Y$6,СГИ!$Q$1:$AJ$2,2)))=1,CONCATENATE("при измерении ",$Q21," ",Y$6," не допускается ! "),"")</f>
      </c>
      <c r="Z21" s="587">
        <f>IF(IF(ISNA(INDEX(СГИ!$Q$3:$AJ$22,VLOOKUP($Q21,СГИ!$O$3:$P$22,2),HLOOKUP(Z$6,СГИ!$Q$1:$AJ$2,2))),"",INDEX(СГИ!$Q$3:$AJ$22,VLOOKUP($Q21,СГИ!$O$3:$P$22,2),HLOOKUP(Z$6,СГИ!$Q$1:$AJ$2,2)))=1,CONCATENATE("при измерении ",$Q21," ",Z$6," не допускается ! "),"")</f>
      </c>
      <c r="AA21" s="587">
        <f>IF(IF(ISNA(INDEX(СГИ!$Q$3:$AJ$22,VLOOKUP($Q21,СГИ!$O$3:$P$22,2),HLOOKUP(AA$6,СГИ!$Q$1:$AJ$2,2))),"",INDEX(СГИ!$Q$3:$AJ$22,VLOOKUP($Q21,СГИ!$O$3:$P$22,2),HLOOKUP(AA$6,СГИ!$Q$1:$AJ$2,2)))=1,CONCATENATE("при измерении ",$Q21," ",AA$6," не допускается ! "),"")</f>
      </c>
      <c r="AB21" s="587">
        <f>IF(IF(ISNA(INDEX(СГИ!$Q$3:$AJ$22,VLOOKUP($Q21,СГИ!$O$3:$P$22,2),HLOOKUP(AB$6,СГИ!$Q$1:$AJ$2,2))),"",INDEX(СГИ!$Q$3:$AJ$22,VLOOKUP($Q21,СГИ!$O$3:$P$22,2),HLOOKUP(AB$6,СГИ!$Q$1:$AJ$2,2)))=1,CONCATENATE("при измерении ",$Q21," ",AB$6," не допускается ! "),"")</f>
      </c>
      <c r="AC21" s="587">
        <f>IF(IF(ISNA(INDEX(СГИ!$Q$3:$AJ$22,VLOOKUP($Q21,СГИ!$O$3:$P$22,2),HLOOKUP(AC$6,СГИ!$Q$1:$AJ$2,2))),"",INDEX(СГИ!$Q$3:$AJ$22,VLOOKUP($Q21,СГИ!$O$3:$P$22,2),HLOOKUP(AC$6,СГИ!$Q$1:$AJ$2,2)))=1,CONCATENATE("при измерении ",$Q21," ",AC$6," не допускается ! "),"")</f>
      </c>
      <c r="AD21" s="587">
        <f>IF(IF(ISNA(INDEX(СГИ!$Q$3:$AJ$22,VLOOKUP($Q21,СГИ!$O$3:$P$22,2),HLOOKUP(AD$6,СГИ!$Q$1:$AJ$2,2))),"",INDEX(СГИ!$Q$3:$AJ$22,VLOOKUP($Q21,СГИ!$O$3:$P$22,2),HLOOKUP(AD$6,СГИ!$Q$1:$AJ$2,2)))=1,CONCATENATE("при измерении ",$Q21," ",AD$6," не допускается ! "),"")</f>
      </c>
      <c r="AE21" s="587">
        <f>IF(IF(ISNA(INDEX(СГИ!$Q$3:$AJ$22,VLOOKUP($Q21,СГИ!$O$3:$P$22,2),HLOOKUP(AE$6,СГИ!$Q$1:$AJ$2,2))),"",INDEX(СГИ!$Q$3:$AJ$22,VLOOKUP($Q21,СГИ!$O$3:$P$22,2),HLOOKUP(AE$6,СГИ!$Q$1:$AJ$2,2)))=1,CONCATENATE("при измерении ",$Q21," ",AE$6," не допускается ! "),"")</f>
      </c>
      <c r="AF21" s="587">
        <f>IF(IF(ISNA(INDEX(СГИ!$Q$3:$AJ$22,VLOOKUP($Q21,СГИ!$O$3:$P$22,2),HLOOKUP(AF$6,СГИ!$Q$1:$AJ$2,2))),"",INDEX(СГИ!$Q$3:$AJ$22,VLOOKUP($Q21,СГИ!$O$3:$P$22,2),HLOOKUP(AF$6,СГИ!$Q$1:$AJ$2,2)))=1,CONCATENATE("при измерении ",$Q21," ",AF$6," не допускается ! "),"")</f>
      </c>
      <c r="AG21" s="587">
        <f>IF(IF(ISNA(INDEX(СГИ!$Q$3:$AJ$22,VLOOKUP($Q21,СГИ!$O$3:$P$22,2),HLOOKUP(AG$6,СГИ!$Q$1:$AJ$2,2))),"",INDEX(СГИ!$Q$3:$AJ$22,VLOOKUP($Q21,СГИ!$O$3:$P$22,2),HLOOKUP(AG$6,СГИ!$Q$1:$AJ$2,2)))=1,CONCATENATE("при измерении ",$Q21," ",AG$6," не допускается ! "),"")</f>
      </c>
      <c r="AH21" s="587">
        <f>IF(IF(ISNA(INDEX(СГИ!$Q$3:$AJ$22,VLOOKUP($Q21,СГИ!$O$3:$P$22,2),HLOOKUP(AH$6,СГИ!$Q$1:$AJ$2,2))),"",INDEX(СГИ!$Q$3:$AJ$22,VLOOKUP($Q21,СГИ!$O$3:$P$22,2),HLOOKUP(AH$6,СГИ!$Q$1:$AJ$2,2)))=1,CONCATENATE("при измерении ",$Q21," ",AH$6," не допускается ! "),"")</f>
      </c>
      <c r="AI21" s="615">
        <f>IF(IF(ISNA(INDEX(СГИ!$Q$3:$AJ$22,VLOOKUP($Q21,СГИ!$O$3:$P$22,2),HLOOKUP(AI$6,СГИ!$Q$1:$AJ$2,2))),"",INDEX(СГИ!$Q$3:$AJ$22,VLOOKUP($Q21,СГИ!$O$3:$P$22,2),HLOOKUP(AI$6,СГИ!$Q$1:$AJ$2,2)))=1,CONCATENATE("при измерении ",$Q21," ",AI$6," не допускается ! "),"")</f>
      </c>
      <c r="AJ21" s="1">
        <f t="shared" si="0"/>
      </c>
      <c r="AL21" s="1">
        <v>0</v>
      </c>
      <c r="AM21" s="1" t="s">
        <v>612</v>
      </c>
    </row>
    <row r="22" spans="1:39" ht="33" customHeight="1" thickBot="1">
      <c r="A22" s="492" t="str">
        <f>IF(OR('И21,И22-стационарные с вын. БД'!C26&gt;4,'И21,И22-стационарные с вын. БД'!P12=1,'И21,И22-стационарные с вын. БД'!C29&gt;0),сообщения!AL2,сообщения!AL3)</f>
        <v>-И22</v>
      </c>
      <c r="B22" s="837" t="s">
        <v>659</v>
      </c>
      <c r="C22" s="828" t="s">
        <v>703</v>
      </c>
      <c r="E22" s="827" t="s">
        <v>704</v>
      </c>
      <c r="H22" s="848"/>
      <c r="I22" s="544" t="s">
        <v>554</v>
      </c>
      <c r="J22" s="1"/>
      <c r="K22" s="1"/>
      <c r="M22" s="868">
        <f>'И21,И22-стационарные с вын. БД'!K22</f>
      </c>
      <c r="N22" s="492">
        <f>IF(SUM('И21,И22-стационарные с вын. БД'!$C$7:$C$24)&gt;8,IF(OR('И21,И22-стационарные с вын. БД'!B22="O3",'И21,И22-стационарные с вын. БД'!B22="F2"),"--",VLOOKUP('И21,И22-стационарные с вын. БД'!B22,СГИ!$A$8:$G$27,IF(N$6=сообщения!I$3,3,4),TRUE)+VLOOKUP('И21,И22-стационарные с вын. БД'!B22,СГИ!$A$8:$G$27,2,TRUE)),VLOOKUP('И21,И22-стационарные с вын. БД'!B22,СГИ!$A$8:$G$27,IF(N$6=сообщения!I$3,3,4),TRUE))</f>
        <v>20680</v>
      </c>
      <c r="O22" s="493">
        <f>IF('И21,И22-стационарные с вын. БД'!M22&gt;0,VLOOKUP(M22,СГИ!$A$8:$G$27,IF(N$6=сообщения!I$3,5,6),TRUE),"")</f>
      </c>
      <c r="Q22" s="614">
        <f>IF(сообщения!M22="","","F2")</f>
      </c>
      <c r="R22" s="587">
        <f>IF(IF(ISNA(INDEX(СГИ!$Q$3:$AJ$22,VLOOKUP($Q22,СГИ!$O$3:$P$22,2),HLOOKUP(R$6,СГИ!$Q$1:$AJ$2,2))),"",INDEX(СГИ!$Q$3:$AJ$22,VLOOKUP($Q22,СГИ!$O$3:$P$22,2),HLOOKUP(R$6,СГИ!$Q$1:$AJ$2,2)))=1,CONCATENATE("при измерении ",$Q22," ",R$6," не допускается ! "),"")</f>
      </c>
      <c r="S22" s="587">
        <f>IF(IF(ISNA(INDEX(СГИ!$Q$3:$AJ$22,VLOOKUP($Q22,СГИ!$O$3:$P$22,2),HLOOKUP(S$6,СГИ!$Q$1:$AJ$2,2))),"",INDEX(СГИ!$Q$3:$AJ$22,VLOOKUP($Q22,СГИ!$O$3:$P$22,2),HLOOKUP(S$6,СГИ!$Q$1:$AJ$2,2)))=1,CONCATENATE("при измерении ",$Q22," ",S$6," не допускается ! "),"")</f>
      </c>
      <c r="T22" s="587">
        <f>IF(IF(ISNA(INDEX(СГИ!$Q$3:$AJ$22,VLOOKUP($Q22,СГИ!$O$3:$P$22,2),HLOOKUP(T$6,СГИ!$Q$1:$AJ$2,2))),"",INDEX(СГИ!$Q$3:$AJ$22,VLOOKUP($Q22,СГИ!$O$3:$P$22,2),HLOOKUP(T$6,СГИ!$Q$1:$AJ$2,2)))=1,CONCATENATE("при измерении ",$Q22," ",T$6," не допускается ! "),"")</f>
      </c>
      <c r="U22" s="587">
        <f>IF(IF(ISNA(INDEX(СГИ!$Q$3:$AJ$22,VLOOKUP($Q22,СГИ!$O$3:$P$22,2),HLOOKUP(U$6,СГИ!$Q$1:$AJ$2,2))),"",INDEX(СГИ!$Q$3:$AJ$22,VLOOKUP($Q22,СГИ!$O$3:$P$22,2),HLOOKUP(U$6,СГИ!$Q$1:$AJ$2,2)))=1,CONCATENATE("при измерении ",$Q22," ",U$6," не допускается ! "),"")</f>
      </c>
      <c r="V22" s="587">
        <f>IF(IF(ISNA(INDEX(СГИ!$Q$3:$AJ$22,VLOOKUP($Q22,СГИ!$O$3:$P$22,2),HLOOKUP(V$6,СГИ!$Q$1:$AJ$2,2))),"",INDEX(СГИ!$Q$3:$AJ$22,VLOOKUP($Q22,СГИ!$O$3:$P$22,2),HLOOKUP(V$6,СГИ!$Q$1:$AJ$2,2)))=1,CONCATENATE("при измерении ",$Q22," ",V$6," не допускается ! "),"")</f>
      </c>
      <c r="W22" s="587">
        <f>IF(IF(ISNA(INDEX(СГИ!$Q$3:$AJ$22,VLOOKUP($Q22,СГИ!$O$3:$P$22,2),HLOOKUP(W$6,СГИ!$Q$1:$AJ$2,2))),"",INDEX(СГИ!$Q$3:$AJ$22,VLOOKUP($Q22,СГИ!$O$3:$P$22,2),HLOOKUP(W$6,СГИ!$Q$1:$AJ$2,2)))=1,CONCATENATE("при измерении ",$Q22," ",W$6," не допускается ! "),"")</f>
      </c>
      <c r="X22" s="587">
        <f>IF(IF(ISNA(INDEX(СГИ!$Q$3:$AJ$22,VLOOKUP($Q22,СГИ!$O$3:$P$22,2),HLOOKUP(X$6,СГИ!$Q$1:$AJ$2,2))),"",INDEX(СГИ!$Q$3:$AJ$22,VLOOKUP($Q22,СГИ!$O$3:$P$22,2),HLOOKUP(X$6,СГИ!$Q$1:$AJ$2,2)))=1,CONCATENATE("при измерении ",$Q22," ",X$6," не допускается ! "),"")</f>
      </c>
      <c r="Y22" s="587">
        <f>IF(IF(ISNA(INDEX(СГИ!$Q$3:$AJ$22,VLOOKUP($Q22,СГИ!$O$3:$P$22,2),HLOOKUP(Y$6,СГИ!$Q$1:$AJ$2,2))),"",INDEX(СГИ!$Q$3:$AJ$22,VLOOKUP($Q22,СГИ!$O$3:$P$22,2),HLOOKUP(Y$6,СГИ!$Q$1:$AJ$2,2)))=1,CONCATENATE("при измерении ",$Q22," ",Y$6," не допускается ! "),"")</f>
      </c>
      <c r="Z22" s="587">
        <f>IF(IF(ISNA(INDEX(СГИ!$Q$3:$AJ$22,VLOOKUP($Q22,СГИ!$O$3:$P$22,2),HLOOKUP(Z$6,СГИ!$Q$1:$AJ$2,2))),"",INDEX(СГИ!$Q$3:$AJ$22,VLOOKUP($Q22,СГИ!$O$3:$P$22,2),HLOOKUP(Z$6,СГИ!$Q$1:$AJ$2,2)))=1,CONCATENATE("при измерении ",$Q22," ",Z$6," не допускается ! "),"")</f>
      </c>
      <c r="AA22" s="587">
        <f>IF(IF(ISNA(INDEX(СГИ!$Q$3:$AJ$22,VLOOKUP($Q22,СГИ!$O$3:$P$22,2),HLOOKUP(AA$6,СГИ!$Q$1:$AJ$2,2))),"",INDEX(СГИ!$Q$3:$AJ$22,VLOOKUP($Q22,СГИ!$O$3:$P$22,2),HLOOKUP(AA$6,СГИ!$Q$1:$AJ$2,2)))=1,CONCATENATE("при измерении ",$Q22," ",AA$6," не допускается ! "),"")</f>
      </c>
      <c r="AB22" s="587">
        <f>IF(IF(ISNA(INDEX(СГИ!$Q$3:$AJ$22,VLOOKUP($Q22,СГИ!$O$3:$P$22,2),HLOOKUP(AB$6,СГИ!$Q$1:$AJ$2,2))),"",INDEX(СГИ!$Q$3:$AJ$22,VLOOKUP($Q22,СГИ!$O$3:$P$22,2),HLOOKUP(AB$6,СГИ!$Q$1:$AJ$2,2)))=1,CONCATENATE("при измерении ",$Q22," ",AB$6," не допускается ! "),"")</f>
      </c>
      <c r="AC22" s="587">
        <f>IF(IF(ISNA(INDEX(СГИ!$Q$3:$AJ$22,VLOOKUP($Q22,СГИ!$O$3:$P$22,2),HLOOKUP(AC$6,СГИ!$Q$1:$AJ$2,2))),"",INDEX(СГИ!$Q$3:$AJ$22,VLOOKUP($Q22,СГИ!$O$3:$P$22,2),HLOOKUP(AC$6,СГИ!$Q$1:$AJ$2,2)))=1,CONCATENATE("при измерении ",$Q22," ",AC$6," не допускается ! "),"")</f>
      </c>
      <c r="AD22" s="587">
        <f>IF(IF(ISNA(INDEX(СГИ!$Q$3:$AJ$22,VLOOKUP($Q22,СГИ!$O$3:$P$22,2),HLOOKUP(AD$6,СГИ!$Q$1:$AJ$2,2))),"",INDEX(СГИ!$Q$3:$AJ$22,VLOOKUP($Q22,СГИ!$O$3:$P$22,2),HLOOKUP(AD$6,СГИ!$Q$1:$AJ$2,2)))=1,CONCATENATE("при измерении ",$Q22," ",AD$6," не допускается ! "),"")</f>
      </c>
      <c r="AE22" s="587">
        <f>IF(IF(ISNA(INDEX(СГИ!$Q$3:$AJ$22,VLOOKUP($Q22,СГИ!$O$3:$P$22,2),HLOOKUP(AE$6,СГИ!$Q$1:$AJ$2,2))),"",INDEX(СГИ!$Q$3:$AJ$22,VLOOKUP($Q22,СГИ!$O$3:$P$22,2),HLOOKUP(AE$6,СГИ!$Q$1:$AJ$2,2)))=1,CONCATENATE("при измерении ",$Q22," ",AE$6," не допускается ! "),"")</f>
      </c>
      <c r="AF22" s="587">
        <f>IF(IF(ISNA(INDEX(СГИ!$Q$3:$AJ$22,VLOOKUP($Q22,СГИ!$O$3:$P$22,2),HLOOKUP(AF$6,СГИ!$Q$1:$AJ$2,2))),"",INDEX(СГИ!$Q$3:$AJ$22,VLOOKUP($Q22,СГИ!$O$3:$P$22,2),HLOOKUP(AF$6,СГИ!$Q$1:$AJ$2,2)))=1,CONCATENATE("при измерении ",$Q22," ",AF$6," не допускается ! "),"")</f>
      </c>
      <c r="AG22" s="587">
        <f>IF(IF(ISNA(INDEX(СГИ!$Q$3:$AJ$22,VLOOKUP($Q22,СГИ!$O$3:$P$22,2),HLOOKUP(AG$6,СГИ!$Q$1:$AJ$2,2))),"",INDEX(СГИ!$Q$3:$AJ$22,VLOOKUP($Q22,СГИ!$O$3:$P$22,2),HLOOKUP(AG$6,СГИ!$Q$1:$AJ$2,2)))=1,CONCATENATE("при измерении ",$Q22," ",AG$6," не допускается ! "),"")</f>
      </c>
      <c r="AH22" s="587">
        <f>IF(IF(ISNA(INDEX(СГИ!$Q$3:$AJ$22,VLOOKUP($Q22,СГИ!$O$3:$P$22,2),HLOOKUP(AH$6,СГИ!$Q$1:$AJ$2,2))),"",INDEX(СГИ!$Q$3:$AJ$22,VLOOKUP($Q22,СГИ!$O$3:$P$22,2),HLOOKUP(AH$6,СГИ!$Q$1:$AJ$2,2)))=1,CONCATENATE("при измерении ",$Q22," ",AH$6," не допускается ! "),"")</f>
      </c>
      <c r="AI22" s="615">
        <f>IF(IF(ISNA(INDEX(СГИ!$Q$3:$AJ$22,VLOOKUP($Q22,СГИ!$O$3:$P$22,2),HLOOKUP(AI$6,СГИ!$Q$1:$AJ$2,2))),"",INDEX(СГИ!$Q$3:$AJ$22,VLOOKUP($Q22,СГИ!$O$3:$P$22,2),HLOOKUP(AI$6,СГИ!$Q$1:$AJ$2,2)))=1,CONCATENATE("при измерении ",$Q22," ",AI$6," не допускается ! "),"")</f>
      </c>
      <c r="AJ22" s="1">
        <f t="shared" si="0"/>
      </c>
      <c r="AL22" s="1">
        <v>1</v>
      </c>
      <c r="AM22" s="1" t="s">
        <v>610</v>
      </c>
    </row>
    <row r="23" spans="1:39" ht="33" customHeight="1" thickBot="1">
      <c r="A23" s="493" t="str">
        <f>IF(OR('И21,И22-стационарные с вын. БД'!P7=1,'И21,И22-стационарные с вын. БД'!P9&gt;0,'И21,И22-стационарные с вын. БД'!P8&gt;0,),сообщения!AL5,сообщения!AL4)</f>
        <v>(з)</v>
      </c>
      <c r="B23" s="838" t="s">
        <v>660</v>
      </c>
      <c r="C23" s="575" t="str">
        <f>IF(E23="",C26,E23)</f>
        <v>ЦЕНЫ без взрывозащиты</v>
      </c>
      <c r="E23" s="575">
        <f>IF(E26="",IF(E27="",IF(E28="","",E28),E27),E26)</f>
      </c>
      <c r="I23" s="544" t="s">
        <v>555</v>
      </c>
      <c r="J23" s="1"/>
      <c r="K23" s="607"/>
      <c r="L23" s="865" t="s">
        <v>565</v>
      </c>
      <c r="M23" s="868">
        <f>'И21,И22-стационарные с вын. БД'!K23</f>
      </c>
      <c r="N23" s="492">
        <f>IF(SUM('И21,И22-стационарные с вын. БД'!$C$7:$C$24)&gt;8,IF(OR('И21,И22-стационарные с вын. БД'!B23="O3",'И21,И22-стационарные с вын. БД'!B23="F2"),"--",VLOOKUP('И21,И22-стационарные с вын. БД'!B23,СГИ!$A$8:$G$27,IF(N$6=сообщения!I$3,3,4),TRUE)+VLOOKUP('И21,И22-стационарные с вын. БД'!B23,СГИ!$A$8:$G$27,2,TRUE)),VLOOKUP('И21,И22-стационарные с вын. БД'!B23,СГИ!$A$8:$G$27,IF(N$6=сообщения!I$3,3,4),TRUE))</f>
        <v>11260</v>
      </c>
      <c r="O23" s="493">
        <f>IF('И21,И22-стационарные с вын. БД'!M23&gt;0,VLOOKUP(M23,СГИ!$A$8:$G$27,IF(N$6=сообщения!I$3,5,6),TRUE),"")</f>
      </c>
      <c r="Q23" s="614">
        <f>IF(сообщения!M23="","",сообщения!M23)</f>
      </c>
      <c r="R23" s="587">
        <f>IF(IF(ISNA(INDEX(СГИ!$Q$3:$AJ$22,VLOOKUP($Q23,СГИ!$O$3:$P$22,2),HLOOKUP(R$6,СГИ!$Q$1:$AJ$2,2))),"",INDEX(СГИ!$Q$3:$AJ$22,VLOOKUP($Q23,СГИ!$O$3:$P$22,2),HLOOKUP(R$6,СГИ!$Q$1:$AJ$2,2)))=1,CONCATENATE("при измерении ",$Q23," ",R$6," не допускается ! "),"")</f>
      </c>
      <c r="S23" s="587">
        <f>IF(IF(ISNA(INDEX(СГИ!$Q$3:$AJ$22,VLOOKUP($Q23,СГИ!$O$3:$P$22,2),HLOOKUP(S$6,СГИ!$Q$1:$AJ$2,2))),"",INDEX(СГИ!$Q$3:$AJ$22,VLOOKUP($Q23,СГИ!$O$3:$P$22,2),HLOOKUP(S$6,СГИ!$Q$1:$AJ$2,2)))=1,CONCATENATE("при измерении ",$Q23," ",S$6," не допускается ! "),"")</f>
      </c>
      <c r="T23" s="587">
        <f>IF(IF(ISNA(INDEX(СГИ!$Q$3:$AJ$22,VLOOKUP($Q23,СГИ!$O$3:$P$22,2),HLOOKUP(T$6,СГИ!$Q$1:$AJ$2,2))),"",INDEX(СГИ!$Q$3:$AJ$22,VLOOKUP($Q23,СГИ!$O$3:$P$22,2),HLOOKUP(T$6,СГИ!$Q$1:$AJ$2,2)))=1,CONCATENATE("при измерении ",$Q23," ",T$6," не допускается ! "),"")</f>
      </c>
      <c r="U23" s="587">
        <f>IF(IF(ISNA(INDEX(СГИ!$Q$3:$AJ$22,VLOOKUP($Q23,СГИ!$O$3:$P$22,2),HLOOKUP(U$6,СГИ!$Q$1:$AJ$2,2))),"",INDEX(СГИ!$Q$3:$AJ$22,VLOOKUP($Q23,СГИ!$O$3:$P$22,2),HLOOKUP(U$6,СГИ!$Q$1:$AJ$2,2)))=1,CONCATENATE("при измерении ",$Q23," ",U$6," не допускается ! "),"")</f>
      </c>
      <c r="V23" s="587">
        <f>IF(IF(ISNA(INDEX(СГИ!$Q$3:$AJ$22,VLOOKUP($Q23,СГИ!$O$3:$P$22,2),HLOOKUP(V$6,СГИ!$Q$1:$AJ$2,2))),"",INDEX(СГИ!$Q$3:$AJ$22,VLOOKUP($Q23,СГИ!$O$3:$P$22,2),HLOOKUP(V$6,СГИ!$Q$1:$AJ$2,2)))=1,CONCATENATE("при измерении ",$Q23," ",V$6," не допускается ! "),"")</f>
      </c>
      <c r="W23" s="587">
        <f>IF(IF(ISNA(INDEX(СГИ!$Q$3:$AJ$22,VLOOKUP($Q23,СГИ!$O$3:$P$22,2),HLOOKUP(W$6,СГИ!$Q$1:$AJ$2,2))),"",INDEX(СГИ!$Q$3:$AJ$22,VLOOKUP($Q23,СГИ!$O$3:$P$22,2),HLOOKUP(W$6,СГИ!$Q$1:$AJ$2,2)))=1,CONCATENATE("при измерении ",$Q23," ",W$6," не допускается ! "),"")</f>
      </c>
      <c r="X23" s="587">
        <f>IF(IF(ISNA(INDEX(СГИ!$Q$3:$AJ$22,VLOOKUP($Q23,СГИ!$O$3:$P$22,2),HLOOKUP(X$6,СГИ!$Q$1:$AJ$2,2))),"",INDEX(СГИ!$Q$3:$AJ$22,VLOOKUP($Q23,СГИ!$O$3:$P$22,2),HLOOKUP(X$6,СГИ!$Q$1:$AJ$2,2)))=1,CONCATENATE("при измерении ",$Q23," ",X$6," не допускается ! "),"")</f>
      </c>
      <c r="Y23" s="587">
        <f>IF(IF(ISNA(INDEX(СГИ!$Q$3:$AJ$22,VLOOKUP($Q23,СГИ!$O$3:$P$22,2),HLOOKUP(Y$6,СГИ!$Q$1:$AJ$2,2))),"",INDEX(СГИ!$Q$3:$AJ$22,VLOOKUP($Q23,СГИ!$O$3:$P$22,2),HLOOKUP(Y$6,СГИ!$Q$1:$AJ$2,2)))=1,CONCATENATE("при измерении ",$Q23," ",Y$6," не допускается ! "),"")</f>
      </c>
      <c r="Z23" s="587">
        <f>IF(IF(ISNA(INDEX(СГИ!$Q$3:$AJ$22,VLOOKUP($Q23,СГИ!$O$3:$P$22,2),HLOOKUP(Z$6,СГИ!$Q$1:$AJ$2,2))),"",INDEX(СГИ!$Q$3:$AJ$22,VLOOKUP($Q23,СГИ!$O$3:$P$22,2),HLOOKUP(Z$6,СГИ!$Q$1:$AJ$2,2)))=1,CONCATENATE("при измерении ",$Q23," ",Z$6," не допускается ! "),"")</f>
      </c>
      <c r="AA23" s="587">
        <f>IF(IF(ISNA(INDEX(СГИ!$Q$3:$AJ$22,VLOOKUP($Q23,СГИ!$O$3:$P$22,2),HLOOKUP(AA$6,СГИ!$Q$1:$AJ$2,2))),"",INDEX(СГИ!$Q$3:$AJ$22,VLOOKUP($Q23,СГИ!$O$3:$P$22,2),HLOOKUP(AA$6,СГИ!$Q$1:$AJ$2,2)))=1,CONCATENATE("при измерении ",$Q23," ",AA$6," не допускается ! "),"")</f>
      </c>
      <c r="AB23" s="587">
        <f>IF(IF(ISNA(INDEX(СГИ!$Q$3:$AJ$22,VLOOKUP($Q23,СГИ!$O$3:$P$22,2),HLOOKUP(AB$6,СГИ!$Q$1:$AJ$2,2))),"",INDEX(СГИ!$Q$3:$AJ$22,VLOOKUP($Q23,СГИ!$O$3:$P$22,2),HLOOKUP(AB$6,СГИ!$Q$1:$AJ$2,2)))=1,CONCATENATE("при измерении ",$Q23," ",AB$6," не допускается ! "),"")</f>
      </c>
      <c r="AC23" s="587">
        <f>IF(IF(ISNA(INDEX(СГИ!$Q$3:$AJ$22,VLOOKUP($Q23,СГИ!$O$3:$P$22,2),HLOOKUP(AC$6,СГИ!$Q$1:$AJ$2,2))),"",INDEX(СГИ!$Q$3:$AJ$22,VLOOKUP($Q23,СГИ!$O$3:$P$22,2),HLOOKUP(AC$6,СГИ!$Q$1:$AJ$2,2)))=1,CONCATENATE("при измерении ",$Q23," ",AC$6," не допускается ! "),"")</f>
      </c>
      <c r="AD23" s="587">
        <f>IF(IF(ISNA(INDEX(СГИ!$Q$3:$AJ$22,VLOOKUP($Q23,СГИ!$O$3:$P$22,2),HLOOKUP(AD$6,СГИ!$Q$1:$AJ$2,2))),"",INDEX(СГИ!$Q$3:$AJ$22,VLOOKUP($Q23,СГИ!$O$3:$P$22,2),HLOOKUP(AD$6,СГИ!$Q$1:$AJ$2,2)))=1,CONCATENATE("при измерении ",$Q23," ",AD$6," не допускается ! "),"")</f>
      </c>
      <c r="AE23" s="587">
        <f>IF(IF(ISNA(INDEX(СГИ!$Q$3:$AJ$22,VLOOKUP($Q23,СГИ!$O$3:$P$22,2),HLOOKUP(AE$6,СГИ!$Q$1:$AJ$2,2))),"",INDEX(СГИ!$Q$3:$AJ$22,VLOOKUP($Q23,СГИ!$O$3:$P$22,2),HLOOKUP(AE$6,СГИ!$Q$1:$AJ$2,2)))=1,CONCATENATE("при измерении ",$Q23," ",AE$6," не допускается ! "),"")</f>
      </c>
      <c r="AF23" s="587">
        <f>IF(IF(ISNA(INDEX(СГИ!$Q$3:$AJ$22,VLOOKUP($Q23,СГИ!$O$3:$P$22,2),HLOOKUP(AF$6,СГИ!$Q$1:$AJ$2,2))),"",INDEX(СГИ!$Q$3:$AJ$22,VLOOKUP($Q23,СГИ!$O$3:$P$22,2),HLOOKUP(AF$6,СГИ!$Q$1:$AJ$2,2)))=1,CONCATENATE("при измерении ",$Q23," ",AF$6," не допускается ! "),"")</f>
      </c>
      <c r="AG23" s="587">
        <f>IF(IF(ISNA(INDEX(СГИ!$Q$3:$AJ$22,VLOOKUP($Q23,СГИ!$O$3:$P$22,2),HLOOKUP(AG$6,СГИ!$Q$1:$AJ$2,2))),"",INDEX(СГИ!$Q$3:$AJ$22,VLOOKUP($Q23,СГИ!$O$3:$P$22,2),HLOOKUP(AG$6,СГИ!$Q$1:$AJ$2,2)))=1,CONCATENATE("при измерении ",$Q23," ",AG$6," не допускается ! "),"")</f>
      </c>
      <c r="AH23" s="587">
        <f>IF(IF(ISNA(INDEX(СГИ!$Q$3:$AJ$22,VLOOKUP($Q23,СГИ!$O$3:$P$22,2),HLOOKUP(AH$6,СГИ!$Q$1:$AJ$2,2))),"",INDEX(СГИ!$Q$3:$AJ$22,VLOOKUP($Q23,СГИ!$O$3:$P$22,2),HLOOKUP(AH$6,СГИ!$Q$1:$AJ$2,2)))=1,CONCATENATE("при измерении ",$Q23," ",AH$6," не допускается ! "),"")</f>
      </c>
      <c r="AI23" s="615">
        <f>IF(IF(ISNA(INDEX(СГИ!$Q$3:$AJ$22,VLOOKUP($Q23,СГИ!$O$3:$P$22,2),HLOOKUP(AI$6,СГИ!$Q$1:$AJ$2,2))),"",INDEX(СГИ!$Q$3:$AJ$22,VLOOKUP($Q23,СГИ!$O$3:$P$22,2),HLOOKUP(AI$6,СГИ!$Q$1:$AJ$2,2)))=1,CONCATENATE("при измерении ",$Q23," ",AI$6," не допускается ! "),"")</f>
      </c>
      <c r="AJ23" s="1">
        <f t="shared" si="0"/>
      </c>
      <c r="AL23" s="1">
        <v>0</v>
      </c>
      <c r="AM23" s="1" t="s">
        <v>609</v>
      </c>
    </row>
    <row r="24" spans="1:39" ht="33" customHeight="1" thickBot="1">
      <c r="A24" s="493" t="str">
        <f>IF('И21,И22-стационарные с вын. БД'!P6=1,сообщения!AL7,IF('И21,И22-стационарные с вын. БД'!C29='И21,И22-стационарные с вын. БД'!C26,"/",(IF(OR('И21,И22-стационарные с вын. БД'!P9=1,'И21,И22-стационарные с вын. БД'!P8=1),сообщения!AL9,сообщения!AL6))))</f>
        <v>/</v>
      </c>
      <c r="B24" s="838" t="s">
        <v>661</v>
      </c>
      <c r="C24" s="536" t="s">
        <v>708</v>
      </c>
      <c r="E24" s="536" t="s">
        <v>705</v>
      </c>
      <c r="H24" s="849"/>
      <c r="I24" s="544" t="s">
        <v>861</v>
      </c>
      <c r="J24" s="1"/>
      <c r="K24" s="605" t="s">
        <v>566</v>
      </c>
      <c r="L24" s="866">
        <v>330</v>
      </c>
      <c r="M24" s="869">
        <f>'И21,И22-стационарные с вын. БД'!K24</f>
      </c>
      <c r="N24" s="492">
        <f>IF(SUM('И21,И22-стационарные с вын. БД'!$C$7:$C$24)&gt;16,IF(OR('И21,И22-стационарные с вын. БД'!B24="O3",'И21,И22-стационарные с вын. БД'!B24="F2"),"--",VLOOKUP('И21,И22-стационарные с вын. БД'!B24,СГИ!$A$8:$G$27,IF(N$6=сообщения!I$3,3,4),TRUE)+VLOOKUP('И21,И22-стационарные с вын. БД'!B24,СГИ!$A$8:$G$27,2,TRUE)),VLOOKUP('И21,И22-стационарные с вын. БД'!B24,СГИ!$A$8:$G$27,IF(N$6=сообщения!I$3,3,4),TRUE))</f>
        <v>18010</v>
      </c>
      <c r="O24" s="494">
        <f>IF('И21,И22-стационарные с вын. БД'!M24&gt;0,VLOOKUP(M24,СГИ!$A$8:$G$27,IF(N$6=сообщения!I$3,5,6),TRUE),"")</f>
      </c>
      <c r="Q24" s="618">
        <f>IF(сообщения!M24="","",сообщения!M24)</f>
      </c>
      <c r="R24" s="619">
        <f>IF(IF(ISNA(INDEX(СГИ!$Q$3:$AJ$22,VLOOKUP($Q24,СГИ!$O$3:$P$22,2),HLOOKUP(R$6,СГИ!$Q$1:$AJ$2,2))),"",INDEX(СГИ!$Q$3:$AJ$22,VLOOKUP($Q24,СГИ!$O$3:$P$22,2),HLOOKUP(R$6,СГИ!$Q$1:$AJ$2,2)))=1,CONCATENATE("при измерении ",$Q24," ",R$6," не допускается ! "),"")</f>
      </c>
      <c r="S24" s="619">
        <f>IF(IF(ISNA(INDEX(СГИ!$Q$3:$AJ$22,VLOOKUP($Q24,СГИ!$O$3:$P$22,2),HLOOKUP(S$6,СГИ!$Q$1:$AJ$2,2))),"",INDEX(СГИ!$Q$3:$AJ$22,VLOOKUP($Q24,СГИ!$O$3:$P$22,2),HLOOKUP(S$6,СГИ!$Q$1:$AJ$2,2)))=1,CONCATENATE("при измерении ",$Q24," ",S$6," не допускается ! "),"")</f>
      </c>
      <c r="T24" s="619">
        <f>IF(IF(ISNA(INDEX(СГИ!$Q$3:$AJ$22,VLOOKUP($Q24,СГИ!$O$3:$P$22,2),HLOOKUP(T$6,СГИ!$Q$1:$AJ$2,2))),"",INDEX(СГИ!$Q$3:$AJ$22,VLOOKUP($Q24,СГИ!$O$3:$P$22,2),HLOOKUP(T$6,СГИ!$Q$1:$AJ$2,2)))=1,CONCATENATE("при измерении ",$Q24," ",T$6," не допускается ! "),"")</f>
      </c>
      <c r="U24" s="619">
        <f>IF(IF(ISNA(INDEX(СГИ!$Q$3:$AJ$22,VLOOKUP($Q24,СГИ!$O$3:$P$22,2),HLOOKUP(U$6,СГИ!$Q$1:$AJ$2,2))),"",INDEX(СГИ!$Q$3:$AJ$22,VLOOKUP($Q24,СГИ!$O$3:$P$22,2),HLOOKUP(U$6,СГИ!$Q$1:$AJ$2,2)))=1,CONCATENATE("при измерении ",$Q24," ",U$6," не допускается ! "),"")</f>
      </c>
      <c r="V24" s="619">
        <f>IF(IF(ISNA(INDEX(СГИ!$Q$3:$AJ$22,VLOOKUP($Q24,СГИ!$O$3:$P$22,2),HLOOKUP(V$6,СГИ!$Q$1:$AJ$2,2))),"",INDEX(СГИ!$Q$3:$AJ$22,VLOOKUP($Q24,СГИ!$O$3:$P$22,2),HLOOKUP(V$6,СГИ!$Q$1:$AJ$2,2)))=1,CONCATENATE("при измерении ",$Q24," ",V$6," не допускается ! "),"")</f>
      </c>
      <c r="W24" s="619">
        <f>IF(IF(ISNA(INDEX(СГИ!$Q$3:$AJ$22,VLOOKUP($Q24,СГИ!$O$3:$P$22,2),HLOOKUP(W$6,СГИ!$Q$1:$AJ$2,2))),"",INDEX(СГИ!$Q$3:$AJ$22,VLOOKUP($Q24,СГИ!$O$3:$P$22,2),HLOOKUP(W$6,СГИ!$Q$1:$AJ$2,2)))=1,CONCATENATE("при измерении ",$Q24," ",W$6," не допускается ! "),"")</f>
      </c>
      <c r="X24" s="619">
        <f>IF(IF(ISNA(INDEX(СГИ!$Q$3:$AJ$22,VLOOKUP($Q24,СГИ!$O$3:$P$22,2),HLOOKUP(X$6,СГИ!$Q$1:$AJ$2,2))),"",INDEX(СГИ!$Q$3:$AJ$22,VLOOKUP($Q24,СГИ!$O$3:$P$22,2),HLOOKUP(X$6,СГИ!$Q$1:$AJ$2,2)))=1,CONCATENATE("при измерении ",$Q24," ",X$6," не допускается ! "),"")</f>
      </c>
      <c r="Y24" s="619">
        <f>IF(IF(ISNA(INDEX(СГИ!$Q$3:$AJ$22,VLOOKUP($Q24,СГИ!$O$3:$P$22,2),HLOOKUP(Y$6,СГИ!$Q$1:$AJ$2,2))),"",INDEX(СГИ!$Q$3:$AJ$22,VLOOKUP($Q24,СГИ!$O$3:$P$22,2),HLOOKUP(Y$6,СГИ!$Q$1:$AJ$2,2)))=1,CONCATENATE("при измерении ",$Q24," ",Y$6," не допускается ! "),"")</f>
      </c>
      <c r="Z24" s="619">
        <f>IF(IF(ISNA(INDEX(СГИ!$Q$3:$AJ$22,VLOOKUP($Q24,СГИ!$O$3:$P$22,2),HLOOKUP(Z$6,СГИ!$Q$1:$AJ$2,2))),"",INDEX(СГИ!$Q$3:$AJ$22,VLOOKUP($Q24,СГИ!$O$3:$P$22,2),HLOOKUP(Z$6,СГИ!$Q$1:$AJ$2,2)))=1,CONCATENATE("при измерении ",$Q24," ",Z$6," не допускается ! "),"")</f>
      </c>
      <c r="AA24" s="619">
        <f>IF(IF(ISNA(INDEX(СГИ!$Q$3:$AJ$22,VLOOKUP($Q24,СГИ!$O$3:$P$22,2),HLOOKUP(AA$6,СГИ!$Q$1:$AJ$2,2))),"",INDEX(СГИ!$Q$3:$AJ$22,VLOOKUP($Q24,СГИ!$O$3:$P$22,2),HLOOKUP(AA$6,СГИ!$Q$1:$AJ$2,2)))=1,CONCATENATE("при измерении ",$Q24," ",AA$6," не допускается ! "),"")</f>
      </c>
      <c r="AB24" s="619">
        <f>IF(IF(ISNA(INDEX(СГИ!$Q$3:$AJ$22,VLOOKUP($Q24,СГИ!$O$3:$P$22,2),HLOOKUP(AB$6,СГИ!$Q$1:$AJ$2,2))),"",INDEX(СГИ!$Q$3:$AJ$22,VLOOKUP($Q24,СГИ!$O$3:$P$22,2),HLOOKUP(AB$6,СГИ!$Q$1:$AJ$2,2)))=1,CONCATENATE("при измерении ",$Q24," ",AB$6," не допускается ! "),"")</f>
      </c>
      <c r="AC24" s="619">
        <f>IF(IF(ISNA(INDEX(СГИ!$Q$3:$AJ$22,VLOOKUP($Q24,СГИ!$O$3:$P$22,2),HLOOKUP(AC$6,СГИ!$Q$1:$AJ$2,2))),"",INDEX(СГИ!$Q$3:$AJ$22,VLOOKUP($Q24,СГИ!$O$3:$P$22,2),HLOOKUP(AC$6,СГИ!$Q$1:$AJ$2,2)))=1,CONCATENATE("при измерении ",$Q24," ",AC$6," не допускается ! "),"")</f>
      </c>
      <c r="AD24" s="619">
        <f>IF(IF(ISNA(INDEX(СГИ!$Q$3:$AJ$22,VLOOKUP($Q24,СГИ!$O$3:$P$22,2),HLOOKUP(AD$6,СГИ!$Q$1:$AJ$2,2))),"",INDEX(СГИ!$Q$3:$AJ$22,VLOOKUP($Q24,СГИ!$O$3:$P$22,2),HLOOKUP(AD$6,СГИ!$Q$1:$AJ$2,2)))=1,CONCATENATE("при измерении ",$Q24," ",AD$6," не допускается ! "),"")</f>
      </c>
      <c r="AE24" s="619">
        <f>IF(IF(ISNA(INDEX(СГИ!$Q$3:$AJ$22,VLOOKUP($Q24,СГИ!$O$3:$P$22,2),HLOOKUP(AE$6,СГИ!$Q$1:$AJ$2,2))),"",INDEX(СГИ!$Q$3:$AJ$22,VLOOKUP($Q24,СГИ!$O$3:$P$22,2),HLOOKUP(AE$6,СГИ!$Q$1:$AJ$2,2)))=1,CONCATENATE("при измерении ",$Q24," ",AE$6," не допускается ! "),"")</f>
      </c>
      <c r="AF24" s="619">
        <f>IF(IF(ISNA(INDEX(СГИ!$Q$3:$AJ$22,VLOOKUP($Q24,СГИ!$O$3:$P$22,2),HLOOKUP(AF$6,СГИ!$Q$1:$AJ$2,2))),"",INDEX(СГИ!$Q$3:$AJ$22,VLOOKUP($Q24,СГИ!$O$3:$P$22,2),HLOOKUP(AF$6,СГИ!$Q$1:$AJ$2,2)))=1,CONCATENATE("при измерении ",$Q24," ",AF$6," не допускается ! "),"")</f>
      </c>
      <c r="AG24" s="619">
        <f>IF(IF(ISNA(INDEX(СГИ!$Q$3:$AJ$22,VLOOKUP($Q24,СГИ!$O$3:$P$22,2),HLOOKUP(AG$6,СГИ!$Q$1:$AJ$2,2))),"",INDEX(СГИ!$Q$3:$AJ$22,VLOOKUP($Q24,СГИ!$O$3:$P$22,2),HLOOKUP(AG$6,СГИ!$Q$1:$AJ$2,2)))=1,CONCATENATE("при измерении ",$Q24," ",AG$6," не допускается ! "),"")</f>
      </c>
      <c r="AH24" s="619">
        <f>IF(IF(ISNA(INDEX(СГИ!$Q$3:$AJ$22,VLOOKUP($Q24,СГИ!$O$3:$P$22,2),HLOOKUP(AH$6,СГИ!$Q$1:$AJ$2,2))),"",INDEX(СГИ!$Q$3:$AJ$22,VLOOKUP($Q24,СГИ!$O$3:$P$22,2),HLOOKUP(AH$6,СГИ!$Q$1:$AJ$2,2)))=1,CONCATENATE("при измерении ",$Q24," ",AH$6," не допускается ! "),"")</f>
      </c>
      <c r="AI24" s="620">
        <f>IF(IF(ISNA(INDEX(СГИ!$Q$3:$AJ$22,VLOOKUP($Q24,СГИ!$O$3:$P$22,2),HLOOKUP(AI$6,СГИ!$Q$1:$AJ$2,2))),"",INDEX(СГИ!$Q$3:$AJ$22,VLOOKUP($Q24,СГИ!$O$3:$P$22,2),HLOOKUP(AI$6,СГИ!$Q$1:$AJ$2,2)))=1,CONCATENATE("при измерении ",$Q24," ",AI$6," не допускается ! "),"")</f>
      </c>
      <c r="AJ24" s="1">
        <f t="shared" si="0"/>
      </c>
      <c r="AL24" s="1">
        <v>1</v>
      </c>
      <c r="AM24" s="1" t="s">
        <v>608</v>
      </c>
    </row>
    <row r="25" spans="1:39" ht="33" customHeight="1" thickBot="1">
      <c r="A25" s="493" t="str">
        <f>AL8</f>
        <v>/50</v>
      </c>
      <c r="B25" s="838"/>
      <c r="C25" s="536"/>
      <c r="E25" s="536"/>
      <c r="H25" s="849"/>
      <c r="I25" s="544"/>
      <c r="J25" s="1"/>
      <c r="K25" s="605"/>
      <c r="L25" s="916"/>
      <c r="M25" s="917"/>
      <c r="N25" s="561"/>
      <c r="O25" s="561"/>
      <c r="Q25" s="587"/>
      <c r="R25" s="587"/>
      <c r="S25" s="587"/>
      <c r="T25" s="587"/>
      <c r="U25" s="587"/>
      <c r="V25" s="587"/>
      <c r="W25" s="587"/>
      <c r="X25" s="587"/>
      <c r="Y25" s="587"/>
      <c r="Z25" s="587"/>
      <c r="AA25" s="587"/>
      <c r="AB25" s="587"/>
      <c r="AC25" s="587"/>
      <c r="AD25" s="587"/>
      <c r="AE25" s="587"/>
      <c r="AF25" s="587"/>
      <c r="AG25" s="587"/>
      <c r="AH25" s="587"/>
      <c r="AI25" s="587"/>
      <c r="AJ25" s="1"/>
      <c r="AL25" s="804" t="s">
        <v>627</v>
      </c>
      <c r="AM25" s="1" t="s">
        <v>628</v>
      </c>
    </row>
    <row r="26" spans="1:14" ht="33" customHeight="1" thickBot="1">
      <c r="A26" s="493">
        <f>IF('И21,И22-стационарные с вын. БД'!P8=1,AL10,"")</f>
      </c>
      <c r="B26" s="838" t="s">
        <v>662</v>
      </c>
      <c r="C26" s="575" t="str">
        <f>IF('И21,И22-стационарные с вын. БД'!C$29&gt;0,сообщения!I$30,сообщения!I$28)</f>
        <v>ЦЕНЫ без взрывозащиты</v>
      </c>
      <c r="E26" s="575">
        <f>IF('И21,И22-стационарные с вын. БД'!I$6=$I$12,сообщения!I$27,"")</f>
      </c>
      <c r="F26" s="274" t="s">
        <v>706</v>
      </c>
      <c r="I26" s="544" t="s">
        <v>727</v>
      </c>
      <c r="J26" s="1"/>
      <c r="K26" s="605" t="s">
        <v>567</v>
      </c>
      <c r="L26" s="608">
        <v>1100</v>
      </c>
      <c r="M26" s="1"/>
      <c r="N26" s="1"/>
    </row>
    <row r="27" spans="1:36" ht="33" customHeight="1" thickBot="1">
      <c r="A27" s="493" t="str">
        <f>IF('И21,И22-стационарные с вын. БД'!P13=1,сообщения!AL11,IF(AND('И21,И22-стационарные с вын. БД'!C26&lt;3,NOT('И21,И22-стационарные с вын. БД'!P12=1),NOT('И21,И22-стационарные с вын. БД'!C29&gt;0)),сообщения!AL12,сообщения!AL13))</f>
        <v>-Д2</v>
      </c>
      <c r="B27" s="838" t="s">
        <v>663</v>
      </c>
      <c r="E27" s="575">
        <f>IF(E$13=I$21,I$31,"")</f>
      </c>
      <c r="F27" s="274" t="s">
        <v>694</v>
      </c>
      <c r="I27" s="544" t="s">
        <v>558</v>
      </c>
      <c r="K27" s="606" t="s">
        <v>568</v>
      </c>
      <c r="L27" s="609">
        <v>-3000</v>
      </c>
      <c r="M27" s="497"/>
      <c r="N27" s="497"/>
      <c r="O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4" ht="33" customHeight="1" thickBot="1">
      <c r="A28" s="493" t="str">
        <f>IF('И21,И22-стационарные с вын. БД'!P14&gt;=1,сообщения!AL16,сообщения!AL15)</f>
        <v>Т1</v>
      </c>
      <c r="B28" s="838" t="s">
        <v>664</v>
      </c>
      <c r="E28" s="575">
        <f>IF('И21,И22-стационарные с вын. БД'!I8=$I$12,I$28,"")</f>
      </c>
      <c r="F28" s="274" t="s">
        <v>707</v>
      </c>
      <c r="I28" s="544" t="s">
        <v>560</v>
      </c>
      <c r="K28" s="1"/>
      <c r="L28" s="1"/>
      <c r="M28" s="497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33" customHeight="1">
      <c r="A29" s="493" t="str">
        <f>IF('И21,И22-стационарные с вын. БД'!P15=1,AL17,AL18)</f>
        <v>Ц2</v>
      </c>
      <c r="B29" s="838" t="s">
        <v>732</v>
      </c>
      <c r="E29" s="274"/>
      <c r="F29" s="274"/>
      <c r="I29" s="544"/>
      <c r="K29" s="1"/>
      <c r="L29" s="1"/>
      <c r="M29" s="497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33" customHeight="1">
      <c r="A30" s="493" t="s">
        <v>733</v>
      </c>
      <c r="B30" s="838" t="s">
        <v>738</v>
      </c>
      <c r="I30" s="544" t="s">
        <v>561</v>
      </c>
      <c r="M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33" customHeight="1">
      <c r="A31" s="836" t="str">
        <f>AL25</f>
        <v>~220</v>
      </c>
      <c r="B31" s="838" t="s">
        <v>665</v>
      </c>
      <c r="I31" s="544" t="s">
        <v>563</v>
      </c>
      <c r="K31" s="1"/>
      <c r="L31" s="1"/>
      <c r="M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33" customHeight="1" thickBot="1">
      <c r="A32" s="494">
        <f>IF('И21,И22-стационарные с вын. БД'!I8=I13,"-Ex","")</f>
      </c>
      <c r="B32" s="838" t="s">
        <v>737</v>
      </c>
      <c r="I32"/>
      <c r="K32" s="1"/>
      <c r="L32" s="1"/>
      <c r="M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13" ht="33" customHeight="1" thickBot="1">
      <c r="A33" s="536" t="s">
        <v>678</v>
      </c>
      <c r="B33" s="196"/>
      <c r="I33"/>
      <c r="K33" s="1"/>
      <c r="L33" s="1"/>
      <c r="M33" s="1"/>
    </row>
    <row r="34" spans="1:13" ht="33" customHeight="1">
      <c r="A34" s="486">
        <f>IF('И21,И22-стационарные с вын. БД'!M7&gt;0,"92","")</f>
      </c>
      <c r="B34" s="826" t="s">
        <v>669</v>
      </c>
      <c r="I34"/>
      <c r="K34" s="1"/>
      <c r="L34" s="1"/>
      <c r="M34" s="1"/>
    </row>
    <row r="35" spans="1:13" ht="33" customHeight="1">
      <c r="A35" s="487">
        <f>IF(AND('И21,И22-стационарные с вын. БД'!C27+'И21,И22-стационарные с вын. БД'!M13&gt;0,'И21,И22-стационарные с вын. БД'!C27+'И21,И22-стационарные с вын. БД'!M13&lt;17),"М","")</f>
      </c>
      <c r="B35" s="826" t="s">
        <v>668</v>
      </c>
      <c r="H35" s="849"/>
      <c r="I35"/>
      <c r="K35" s="1"/>
      <c r="L35" s="1"/>
      <c r="M35" s="1"/>
    </row>
    <row r="36" spans="1:13" ht="33" customHeight="1" thickBot="1">
      <c r="A36" s="488">
        <f>IF('И21,И22-стационарные с вын. БД'!C28&gt;0,IF('И21,И22-стационарные с вын. БД'!C23+'И21,И22-стационарные с вын. БД'!C24&gt;0,"","Т"),"")</f>
      </c>
      <c r="B36" s="826" t="s">
        <v>667</v>
      </c>
      <c r="I36"/>
      <c r="K36" s="784"/>
      <c r="L36" s="784"/>
      <c r="M36" s="784"/>
    </row>
    <row r="37" spans="1:13" ht="33" customHeight="1">
      <c r="A37" s="833">
        <f>IF(AND('И21,И22-стационарные с вын. БД'!C26='И21,И22-стационарные с вын. БД'!M7,'И21,И22-стационарные с вын. БД'!C26&lt;2),"",'И21,И22-стационарные с вын. БД'!L7)</f>
      </c>
      <c r="B37" s="826" t="s">
        <v>676</v>
      </c>
      <c r="I37"/>
      <c r="K37" s="545"/>
      <c r="L37" s="545"/>
      <c r="M37" s="545"/>
    </row>
    <row r="38" spans="1:13" ht="33" customHeight="1">
      <c r="A38" s="834" t="str">
        <f>IF('И21,И22-стационарные с вын. БД'!C26='И21,И22-стационарные с вын. БД'!M8,"H2",'И21,И22-стационарные с вын. БД'!L8)</f>
        <v>H2</v>
      </c>
      <c r="B38" s="826" t="s">
        <v>670</v>
      </c>
      <c r="I38"/>
      <c r="K38" s="1"/>
      <c r="L38" s="1"/>
      <c r="M38" s="1"/>
    </row>
    <row r="39" spans="1:13" ht="33" customHeight="1">
      <c r="A39" s="834">
        <f>IF('И21,И22-стационарные с вын. БД'!C$26='И21,И22-стационарные с вын. БД'!M9,IF('И21,И22-стационарные с вын. БД'!M9=1,I39,'И21,И22-стационарные с вын. БД'!L9),'И21,И22-стационарные с вын. БД'!L9)</f>
      </c>
      <c r="B39" s="826" t="s">
        <v>671</v>
      </c>
      <c r="I39" s="533" t="s">
        <v>785</v>
      </c>
      <c r="K39" s="497"/>
      <c r="L39" s="497"/>
      <c r="M39" s="497"/>
    </row>
    <row r="40" spans="1:13" ht="33" customHeight="1">
      <c r="A40" s="834">
        <f>IF('И21,И22-стационарные с вын. БД'!C$26='И21,И22-стационарные с вын. БД'!M10,IF('И21,И22-стационарные с вын. БД'!M10=1,I40,'И21,И22-стационарные с вын. БД'!L10),'И21,И22-стационарные с вын. БД'!L10)</f>
      </c>
      <c r="B40" s="826" t="s">
        <v>672</v>
      </c>
      <c r="I40" s="533" t="s">
        <v>786</v>
      </c>
      <c r="K40" s="1"/>
      <c r="L40" s="1"/>
      <c r="M40" s="1"/>
    </row>
    <row r="41" spans="1:13" ht="33" customHeight="1">
      <c r="A41" s="834">
        <f>IF('И21,И22-стационарные с вын. БД'!C$26='И21,И22-стационарные с вын. БД'!M11,IF('И21,И22-стационарные с вын. БД'!M11=1,I41,'И21,И22-стационарные с вын. БД'!L11),'И21,И22-стационарные с вын. БД'!L11)</f>
      </c>
      <c r="B41" s="826" t="s">
        <v>673</v>
      </c>
      <c r="I41" s="533" t="s">
        <v>787</v>
      </c>
      <c r="K41" s="1"/>
      <c r="L41" s="1"/>
      <c r="M41" s="1"/>
    </row>
    <row r="42" spans="1:13" ht="33" customHeight="1">
      <c r="A42" s="834">
        <f>IF('И21,И22-стационарные с вын. БД'!C$26='И21,И22-стационарные с вын. БД'!M12,IF('И21,И22-стационарные с вын. БД'!M12=1,I42,'И21,И22-стационарные с вын. БД'!L12),'И21,И22-стационарные с вын. БД'!L12)</f>
      </c>
      <c r="B42" s="826" t="s">
        <v>674</v>
      </c>
      <c r="I42" s="533" t="s">
        <v>788</v>
      </c>
      <c r="K42" s="1"/>
      <c r="L42" s="1"/>
      <c r="M42" s="1"/>
    </row>
    <row r="43" spans="1:13" ht="33" customHeight="1" thickBot="1">
      <c r="A43" s="835">
        <f>IF('И21,И22-стационарные с вын. БД'!C$26='И21,И22-стационарные с вын. БД'!M13,IF('И21,И22-стационарные с вын. БД'!M13=1,I43,'И21,И22-стационарные с вын. БД'!L13),'И21,И22-стационарные с вын. БД'!L13)</f>
      </c>
      <c r="B43" s="826" t="s">
        <v>675</v>
      </c>
      <c r="H43" s="849"/>
      <c r="I43" s="533" t="s">
        <v>786</v>
      </c>
      <c r="K43" s="1"/>
      <c r="L43" s="1"/>
      <c r="M43" s="1"/>
    </row>
    <row r="44" spans="9:36" ht="33" customHeight="1">
      <c r="I44" s="497"/>
      <c r="K44" s="1"/>
      <c r="L44" s="1"/>
      <c r="M44" s="1"/>
      <c r="AJ44" t="s">
        <v>756</v>
      </c>
    </row>
    <row r="45" spans="1:36" ht="33" customHeight="1" thickBot="1">
      <c r="A45" s="786" t="s">
        <v>594</v>
      </c>
      <c r="I45" s="882" t="s">
        <v>730</v>
      </c>
      <c r="K45" s="1"/>
      <c r="L45" s="1"/>
      <c r="M45" s="1"/>
      <c r="AJ45" t="s">
        <v>755</v>
      </c>
    </row>
    <row r="46" spans="1:37" ht="33" customHeight="1" thickBot="1">
      <c r="A46" s="827" t="s">
        <v>653</v>
      </c>
      <c r="B46" s="840" t="s">
        <v>681</v>
      </c>
      <c r="C46" s="839" t="s">
        <v>677</v>
      </c>
      <c r="D46" s="840" t="s">
        <v>648</v>
      </c>
      <c r="E46" s="839" t="s">
        <v>688</v>
      </c>
      <c r="F46" s="840" t="s">
        <v>648</v>
      </c>
      <c r="G46" s="828" t="s">
        <v>690</v>
      </c>
      <c r="H46" s="845" t="s">
        <v>691</v>
      </c>
      <c r="I46" s="621" t="s">
        <v>307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J46" s="1"/>
      <c r="AK46" s="1" t="s">
        <v>635</v>
      </c>
    </row>
    <row r="47" spans="1:37" ht="33" customHeight="1" thickBot="1">
      <c r="A47" s="751">
        <f>IF(C47="",A49,C47)</f>
      </c>
      <c r="B47" s="829" t="str">
        <f>CONCATENATE("- ",ADDRESS(6,8,1,1,"перен. с выносн. БД"))</f>
        <v>- 'перен. с выносн. БД'!$H$6</v>
      </c>
      <c r="C47" s="575">
        <f>IF(AND(C49="",C50="",C51=""),"",$I$55)</f>
      </c>
      <c r="D47" s="829" t="str">
        <f>CONCATENATE("- ",ADDRESS(6,8,1,1,"перен. с выносн. БД"))</f>
        <v>- 'перен. с выносн. БД'!$H$6</v>
      </c>
      <c r="E47" s="575" t="str">
        <f>IF(G47="",E49,G47)</f>
        <v>взрывозащита НЕ предусмотрена</v>
      </c>
      <c r="F47" s="829" t="str">
        <f>CONCATENATE("- ",ADDRESS(8,8,1,1,"перен. с выносн. БД"))</f>
        <v>- 'перен. с выносн. БД'!$H$8</v>
      </c>
      <c r="G47" s="575">
        <f>IF(AND(G49="",G50="",G51="",G52="",G53="",G54="",G55=""),"",I55)</f>
      </c>
      <c r="H47" s="846" t="str">
        <f>CONCATENATE("- ",ADDRESS(8,8,1,1,"перен. с выносн. БД"))</f>
        <v>- 'перен. с выносн. БД'!$H$8</v>
      </c>
      <c r="I47" s="771" t="s">
        <v>573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J47" s="807" t="s">
        <v>629</v>
      </c>
      <c r="AK47" s="1" t="s">
        <v>630</v>
      </c>
    </row>
    <row r="48" spans="1:37" ht="33" customHeight="1" thickBot="1">
      <c r="A48" s="831" t="s">
        <v>643</v>
      </c>
      <c r="C48" s="832" t="s">
        <v>551</v>
      </c>
      <c r="E48" s="536" t="s">
        <v>725</v>
      </c>
      <c r="H48" s="816" t="s">
        <v>692</v>
      </c>
      <c r="I48" s="576" t="s">
        <v>582</v>
      </c>
      <c r="AJ48" s="807">
        <v>6</v>
      </c>
      <c r="AK48" s="1" t="s">
        <v>631</v>
      </c>
    </row>
    <row r="49" spans="1:37" ht="33" customHeight="1" thickBot="1">
      <c r="A49" s="575">
        <f>IF('И11-Переносные с вын. БД'!$J$26&gt;0,CONCATENATE(IF('И11-Переносные с вын. БД'!$H$2="",$A$54,$A$50),A66,CONCATENATE(AJ62,A67,AJ63),A68,A69,A70,A71,A72,A73,A74,A75),"")</f>
      </c>
      <c r="B49" s="512" t="s">
        <v>652</v>
      </c>
      <c r="C49" s="575">
        <f>IF(C60="","",I$55)</f>
      </c>
      <c r="D49" s="826" t="s">
        <v>721</v>
      </c>
      <c r="E49" s="878" t="str">
        <f>IF('И11-Переносные с вын. БД'!L6=1,I56,I57)</f>
        <v>взрывозащита НЕ предусмотрена</v>
      </c>
      <c r="G49" s="575">
        <f>IF(OR('И11-Переносные с вын. БД'!L$6="",'И11-Переносные с вын. БД'!L$6=1),"",$I$55)</f>
      </c>
      <c r="H49" s="847" t="s">
        <v>693</v>
      </c>
      <c r="I49" s="576" t="s">
        <v>583</v>
      </c>
      <c r="J49" s="430" t="s">
        <v>310</v>
      </c>
      <c r="K49" s="603"/>
      <c r="L49" s="621"/>
      <c r="M49" s="196"/>
      <c r="N49" s="758"/>
      <c r="O49" s="1"/>
      <c r="P49" s="580" t="s">
        <v>311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J49" s="807" t="s">
        <v>781</v>
      </c>
      <c r="AK49" s="1" t="s">
        <v>636</v>
      </c>
    </row>
    <row r="50" spans="1:37" ht="33" customHeight="1" thickBot="1">
      <c r="A50" s="575" t="str">
        <f>CONCATENATE(A54,IF('И11-Переносные с вын. БД'!H$2=I$46,$A$53,IF('И11-Переносные с вын. БД'!H$2=I$47,A52,"")),'И11-Переносные с вын. БД'!I13,'И11-Переносные с вын. БД'!I14,'И11-Переносные с вын. БД'!I15,'И11-Переносные с вын. БД'!I16,'И11-Переносные с вын. БД'!I17,'И11-Переносные с вын. БД'!I18,'И11-Переносные с вын. БД'!I19,'И11-Переносные с вын. БД'!I20,'И11-Переносные с вын. БД'!I21)</f>
        <v>ОКА--H2-CH4-C3H8-C6H14-CH4</v>
      </c>
      <c r="B50" s="512" t="s">
        <v>652</v>
      </c>
      <c r="C50" s="575">
        <f>IF(C61="","",I$55)</f>
      </c>
      <c r="D50" s="826" t="s">
        <v>723</v>
      </c>
      <c r="E50" s="536"/>
      <c r="G50" s="575">
        <f>IF(AND('И11-Переносные с вын. БД'!L6=1,'И11-Переносные с вын. БД'!D$8=1),$I$55,"")</f>
      </c>
      <c r="H50" s="847" t="s">
        <v>694</v>
      </c>
      <c r="I50" s="576" t="s">
        <v>545</v>
      </c>
      <c r="J50" s="762" t="s">
        <v>345</v>
      </c>
      <c r="K50" s="603" t="s">
        <v>528</v>
      </c>
      <c r="L50" s="621"/>
      <c r="M50" s="196"/>
      <c r="N50" s="561"/>
      <c r="O50" s="752"/>
      <c r="P50" s="753">
        <f>IF(O51="","",O51)</f>
      </c>
      <c r="Q50" s="753">
        <f>IF(O52="","",O52)</f>
      </c>
      <c r="R50" s="753">
        <f>IF(O53="","",O53)</f>
      </c>
      <c r="S50" s="753">
        <f>IF(O54="","",O54)</f>
      </c>
      <c r="T50" s="753">
        <f>IF(O55="","",O55)</f>
      </c>
      <c r="U50" s="754">
        <f>IF(O56="","",O56)</f>
      </c>
      <c r="V50" s="754">
        <f>IF(O57="","",O57)</f>
      </c>
      <c r="W50" s="754">
        <f>IF(O58="","",O58)</f>
      </c>
      <c r="X50" s="754">
        <f>IF(O59="","",O59)</f>
      </c>
      <c r="Y50" s="754">
        <f>IF(O60="","",O60)</f>
      </c>
      <c r="Z50" s="754">
        <f>IF(O61="","",O61)</f>
      </c>
      <c r="AA50" s="754">
        <f>IF(O62="","",O62)</f>
      </c>
      <c r="AB50" s="754">
        <f>IF(O63="","",O63)</f>
      </c>
      <c r="AC50" s="754">
        <f>IF(O64="","",O64)</f>
      </c>
      <c r="AD50" s="754">
        <f>IF(O65="","",O65)</f>
      </c>
      <c r="AE50" s="754">
        <f>IF(O66="","",O66)</f>
      </c>
      <c r="AF50" s="754">
        <f>IF(O67="","",O67)</f>
      </c>
      <c r="AG50" s="621">
        <f>IF(P68="","",P68)</f>
      </c>
      <c r="AH50" s="585">
        <f>CONCATENATE(AH51,AH52,AH57,AH58,AH59,AH60,AH61,AH62,AH63,AH64,AH65,AH66,AH67,AI68)</f>
      </c>
      <c r="AJ50" s="807" t="s">
        <v>781</v>
      </c>
      <c r="AK50" s="1" t="s">
        <v>754</v>
      </c>
    </row>
    <row r="51" spans="1:37" ht="33" customHeight="1" thickBot="1">
      <c r="A51" s="575">
        <f>IF('И11-Переносные с вын. БД'!H$2=I$46,A52,"")</f>
      </c>
      <c r="B51" s="512" t="s">
        <v>575</v>
      </c>
      <c r="C51" s="575">
        <f>IF(E47=I55,I55,"")</f>
      </c>
      <c r="D51" s="826" t="s">
        <v>724</v>
      </c>
      <c r="E51" s="536"/>
      <c r="G51" s="575">
        <f>IF('И11-Переносные с вын. БД'!L6=1,IF(SUM('И11-Переносные с вын. БД'!D9:D11)&lt;2,"",I55),"")</f>
      </c>
      <c r="H51" s="847" t="s">
        <v>709</v>
      </c>
      <c r="I51" s="576" t="s">
        <v>581</v>
      </c>
      <c r="J51" s="763">
        <f>IF('И11-Переносные с вын. БД'!D7&gt;0,IF('И11-Переносные с вын. БД'!H2=сообщения!I47,ПГ!D7,ПГ!E7),"")</f>
      </c>
      <c r="K51" s="769" t="s">
        <v>521</v>
      </c>
      <c r="L51" s="770">
        <f>MAX(J51:J67)</f>
        <v>0</v>
      </c>
      <c r="M51" s="557"/>
      <c r="N51" s="557"/>
      <c r="O51" s="755">
        <f>MID('И11-Переносные с вын. БД'!I7,2,9)</f>
      </c>
      <c r="P51" s="756">
        <f>IF(IF(ISNA(INDEX(СГИ!$Q$3:$AJ$22,VLOOKUP($O51,СГИ!$O$3:$P$22,2),HLOOKUP(P$50,СГИ!$Q$1:$AJ$2,2))),"",INDEX(СГИ!$Q$3:$AJ$22,VLOOKUP($O51,СГИ!$O$3:$P$22,2),HLOOKUP(P$50,СГИ!$Q$1:$AJ$2,2)))=1,CONCATENATE("при измерении ",$O51," ",P$50," не допускается ! "),"")</f>
      </c>
      <c r="Q51" s="756">
        <f>IF(IF(ISNA(INDEX(СГИ!$Q$3:$AJ$22,VLOOKUP($O51,СГИ!$O$3:$P$22,2),HLOOKUP(Q$50,СГИ!$Q$1:$AJ$2,2))),"",INDEX(СГИ!$Q$3:$AJ$22,VLOOKUP($O51,СГИ!$O$3:$P$22,2),HLOOKUP(Q$50,СГИ!$Q$1:$AJ$2,2)))=1,CONCATENATE("при измерении ",$O51," ",Q$50," не допускается ! "),"")</f>
      </c>
      <c r="R51" s="756">
        <f>IF(IF(ISNA(INDEX(СГИ!$Q$3:$AJ$22,VLOOKUP($O51,СГИ!$O$3:$P$22,2),HLOOKUP(R$50,СГИ!$Q$1:$AJ$2,2))),"",INDEX(СГИ!$Q$3:$AJ$22,VLOOKUP($O51,СГИ!$O$3:$P$22,2),HLOOKUP(R$50,СГИ!$Q$1:$AJ$2,2)))=1,CONCATENATE("при измерении ",$O51," ",R$50," не допускается ! "),"")</f>
      </c>
      <c r="S51" s="756">
        <f>IF(IF(ISNA(INDEX(СГИ!$Q$3:$AJ$22,VLOOKUP($O51,СГИ!$O$3:$P$22,2),HLOOKUP(S$50,СГИ!$Q$1:$AJ$2,2))),"",INDEX(СГИ!$Q$3:$AJ$22,VLOOKUP($O51,СГИ!$O$3:$P$22,2),HLOOKUP(S$50,СГИ!$Q$1:$AJ$2,2)))=1,CONCATENATE("при измерении ",$O51," ",S$50," не допускается ! "),"")</f>
      </c>
      <c r="T51" s="756">
        <f>IF(IF(ISNA(INDEX(СГИ!$Q$3:$AJ$22,VLOOKUP($O51,СГИ!$O$3:$P$22,2),HLOOKUP(T$50,СГИ!$Q$1:$AJ$2,2))),"",INDEX(СГИ!$Q$3:$AJ$22,VLOOKUP($O51,СГИ!$O$3:$P$22,2),HLOOKUP(T$50,СГИ!$Q$1:$AJ$2,2)))=1,CONCATENATE("при измерении ",$O51," ",T$50," не допускается ! "),"")</f>
      </c>
      <c r="U51" s="756">
        <f>IF(IF(ISNA(INDEX(СГИ!$Q$3:$AJ$22,VLOOKUP($O51,СГИ!$O$3:$P$22,2),HLOOKUP(U$50,СГИ!$Q$1:$AJ$2,2))),"",INDEX(СГИ!$Q$3:$AJ$22,VLOOKUP($O51,СГИ!$O$3:$P$22,2),HLOOKUP(U$50,СГИ!$Q$1:$AJ$2,2)))=1,CONCATENATE("при измерении ",$O51," ",U$50," не допускается ! "),"")</f>
      </c>
      <c r="V51" s="756">
        <f>IF(IF(ISNA(INDEX(СГИ!$Q$3:$AJ$22,VLOOKUP($O51,СГИ!$O$3:$P$22,2),HLOOKUP(V$50,СГИ!$Q$1:$AJ$2,2))),"",INDEX(СГИ!$Q$3:$AJ$22,VLOOKUP($O51,СГИ!$O$3:$P$22,2),HLOOKUP(V$50,СГИ!$Q$1:$AJ$2,2)))=1,CONCATENATE("при измерении ",$O51," ",V$50," не допускается ! "),"")</f>
      </c>
      <c r="W51" s="756">
        <f>IF(IF(ISNA(INDEX(СГИ!$Q$3:$AJ$22,VLOOKUP($O51,СГИ!$O$3:$P$22,2),HLOOKUP(W$50,СГИ!$Q$1:$AJ$2,2))),"",INDEX(СГИ!$Q$3:$AJ$22,VLOOKUP($O51,СГИ!$O$3:$P$22,2),HLOOKUP(W$50,СГИ!$Q$1:$AJ$2,2)))=1,CONCATENATE("при измерении ",$O51," ",W$50," не допускается ! "),"")</f>
      </c>
      <c r="X51" s="756">
        <f>IF(IF(ISNA(INDEX(СГИ!$Q$3:$AJ$22,VLOOKUP($O51,СГИ!$O$3:$P$22,2),HLOOKUP(X$50,СГИ!$Q$1:$AJ$2,2))),"",INDEX(СГИ!$Q$3:$AJ$22,VLOOKUP($O51,СГИ!$O$3:$P$22,2),HLOOKUP(X$50,СГИ!$Q$1:$AJ$2,2)))=1,CONCATENATE("при измерении ",$O51," ",X$50," не допускается ! "),"")</f>
      </c>
      <c r="Y51" s="756">
        <f>IF(IF(ISNA(INDEX(СГИ!$Q$3:$AJ$22,VLOOKUP($O51,СГИ!$O$3:$P$22,2),HLOOKUP(Y$50,СГИ!$Q$1:$AJ$2,2))),"",INDEX(СГИ!$Q$3:$AJ$22,VLOOKUP($O51,СГИ!$O$3:$P$22,2),HLOOKUP(Y$50,СГИ!$Q$1:$AJ$2,2)))=1,CONCATENATE("при измерении ",$O51," ",Y$50," не допускается ! "),"")</f>
      </c>
      <c r="Z51" s="756">
        <f>IF(IF(ISNA(INDEX(СГИ!$Q$3:$AJ$22,VLOOKUP($O51,СГИ!$O$3:$P$22,2),HLOOKUP(Z$50,СГИ!$Q$1:$AJ$2,2))),"",INDEX(СГИ!$Q$3:$AJ$22,VLOOKUP($O51,СГИ!$O$3:$P$22,2),HLOOKUP(Z$50,СГИ!$Q$1:$AJ$2,2)))=1,CONCATENATE("при измерении ",$O51," ",Z$50," не допускается ! "),"")</f>
      </c>
      <c r="AA51" s="756">
        <f>IF(IF(ISNA(INDEX(СГИ!$Q$3:$AJ$22,VLOOKUP($O51,СГИ!$O$3:$P$22,2),HLOOKUP(AA$50,СГИ!$Q$1:$AJ$2,2))),"",INDEX(СГИ!$Q$3:$AJ$22,VLOOKUP($O51,СГИ!$O$3:$P$22,2),HLOOKUP(AA$50,СГИ!$Q$1:$AJ$2,2)))=1,CONCATENATE("при измерении ",$O51," ",AA$50," не допускается ! "),"")</f>
      </c>
      <c r="AB51" s="756">
        <f>IF(IF(ISNA(INDEX(СГИ!$Q$3:$AJ$22,VLOOKUP($O51,СГИ!$O$3:$P$22,2),HLOOKUP(AB$50,СГИ!$Q$1:$AJ$2,2))),"",INDEX(СГИ!$Q$3:$AJ$22,VLOOKUP($O51,СГИ!$O$3:$P$22,2),HLOOKUP(AB$50,СГИ!$Q$1:$AJ$2,2)))=1,CONCATENATE("при измерении ",$O51," ",AB$50," не допускается ! "),"")</f>
      </c>
      <c r="AC51" s="756">
        <f>IF(IF(ISNA(INDEX(СГИ!$Q$3:$AJ$22,VLOOKUP($O51,СГИ!$O$3:$P$22,2),HLOOKUP(AC$50,СГИ!$Q$1:$AJ$2,2))),"",INDEX(СГИ!$Q$3:$AJ$22,VLOOKUP($O51,СГИ!$O$3:$P$22,2),HLOOKUP(AC$50,СГИ!$Q$1:$AJ$2,2)))=1,CONCATENATE("при измерении ",$O51," ",AC$50," не допускается ! "),"")</f>
      </c>
      <c r="AD51" s="756">
        <f>IF(IF(ISNA(INDEX(СГИ!$Q$3:$AJ$22,VLOOKUP($O51,СГИ!$O$3:$P$22,2),HLOOKUP(AD$50,СГИ!$Q$1:$AJ$2,2))),"",INDEX(СГИ!$Q$3:$AJ$22,VLOOKUP($O51,СГИ!$O$3:$P$22,2),HLOOKUP(AD$50,СГИ!$Q$1:$AJ$2,2)))=1,CONCATENATE("при измерении ",$O51," ",AD$50," не допускается ! "),"")</f>
      </c>
      <c r="AE51" s="756">
        <f>IF(IF(ISNA(INDEX(СГИ!$Q$3:$AJ$22,VLOOKUP($O51,СГИ!$O$3:$P$22,2),HLOOKUP(AE$50,СГИ!$Q$1:$AJ$2,2))),"",INDEX(СГИ!$Q$3:$AJ$22,VLOOKUP($O51,СГИ!$O$3:$P$22,2),HLOOKUP(AE$50,СГИ!$Q$1:$AJ$2,2)))=1,CONCATENATE("при измерении ",$O51," ",AE$50," не допускается ! "),"")</f>
      </c>
      <c r="AF51" s="756">
        <f>IF(IF(ISNA(INDEX(СГИ!$Q$3:$AJ$22,VLOOKUP($O51,СГИ!$O$3:$P$22,2),HLOOKUP(AF$50,СГИ!$Q$1:$AJ$2,2))),"",INDEX(СГИ!$Q$3:$AJ$22,VLOOKUP($O51,СГИ!$O$3:$P$22,2),HLOOKUP(AF$50,СГИ!$Q$1:$AJ$2,2)))=1,CONCATENATE("при измерении ",$O51," ",AF$50," не допускается ! "),"")</f>
      </c>
      <c r="AG51" s="757">
        <f>IF(IF(ISNA(INDEX(СГИ!$Q$3:$AJ$22,VLOOKUP($O51,СГИ!$O$3:$P$22,2),HLOOKUP(AG$50,СГИ!$Q$1:$AJ$2,2))),"",INDEX(СГИ!$Q$3:$AJ$22,VLOOKUP($O51,СГИ!$O$3:$P$22,2),HLOOKUP(AG$50,СГИ!$Q$1:$AJ$2,2)))=1,CONCATENATE("при измерении ",$O51," ",AG$50," не допускается ! "),"")</f>
      </c>
      <c r="AH51" s="1">
        <f aca="true" t="shared" si="1" ref="AH51:AH67">CONCATENATE(P51,Q51,R51,S51,T51,U51,V51,W51,X51,Y51,Z51,AA51,AB51,AC51,AD51,AE51,AF51,AG51)</f>
      </c>
      <c r="AJ51" s="804" t="s">
        <v>618</v>
      </c>
      <c r="AK51" s="1" t="s">
        <v>620</v>
      </c>
    </row>
    <row r="52" spans="1:37" ht="33" customHeight="1" thickBot="1">
      <c r="A52" s="575" t="str">
        <f>IF('И11-Переносные с вын. БД'!$H2=I$47,CONCATENATE(A77,A78,A79,A80,A81,A82,A83,A84,A85),"")</f>
        <v>-H2-CH4-C3H8-C6H14-CH4</v>
      </c>
      <c r="B52" s="512" t="s">
        <v>576</v>
      </c>
      <c r="E52" s="536"/>
      <c r="G52" s="575">
        <f>IF(AND('И11-Переносные с вын. БД'!L6=1,SUM('И11-Переносные с вын. БД'!D9:D11)=1),IF(SUM('И11-Переносные с вын. БД'!D14:D23)&lt;3,"",I55),"")</f>
      </c>
      <c r="H52" s="847" t="s">
        <v>710</v>
      </c>
      <c r="I52" s="576" t="s">
        <v>580</v>
      </c>
      <c r="J52" s="763">
        <f>IF('И11-Переносные с вын. БД'!D8&gt;0,ПГ!D8,"")</f>
      </c>
      <c r="K52" s="766" t="s">
        <v>531</v>
      </c>
      <c r="L52" s="749">
        <f>SUMPRODUCT('И11-Переносные с вын. БД'!J7:J23,IF('И11-Переносные с вын. БД'!H2=сообщения!I47,ПГ!B$7:B$23,ПГ!C$7:C$23))</f>
        <v>0</v>
      </c>
      <c r="M52" s="557"/>
      <c r="N52" s="561"/>
      <c r="O52" s="614">
        <f>MID('И11-Переносные с вын. БД'!I8,2,9)</f>
      </c>
      <c r="P52" s="587">
        <f>IF(IF(ISNA(INDEX(СГИ!$Q$3:$AJ$22,VLOOKUP($O52,СГИ!$O$3:$P$22,2),HLOOKUP(P$50,СГИ!$Q$1:$AJ$2,2))),"",INDEX(СГИ!$Q$3:$AJ$22,VLOOKUP($O52,СГИ!$O$3:$P$22,2),HLOOKUP(P$50,СГИ!$Q$1:$AJ$2,2)))=1,CONCATENATE("при измерении ",$O52," ",P$50," не допускается ! "),"")</f>
      </c>
      <c r="Q52" s="587">
        <f>IF(IF(ISNA(INDEX(СГИ!$Q$3:$AJ$22,VLOOKUP($O52,СГИ!$O$3:$P$22,2),HLOOKUP(Q$50,СГИ!$Q$1:$AJ$2,2))),"",INDEX(СГИ!$Q$3:$AJ$22,VLOOKUP($O52,СГИ!$O$3:$P$22,2),HLOOKUP(Q$50,СГИ!$Q$1:$AJ$2,2)))=1,CONCATENATE("при измерении ",$O52," ",Q$50," не допускается ! "),"")</f>
      </c>
      <c r="R52" s="587">
        <f>IF(IF(ISNA(INDEX(СГИ!$Q$3:$AJ$22,VLOOKUP($O52,СГИ!$O$3:$P$22,2),HLOOKUP(R$50,СГИ!$Q$1:$AJ$2,2))),"",INDEX(СГИ!$Q$3:$AJ$22,VLOOKUP($O52,СГИ!$O$3:$P$22,2),HLOOKUP(R$50,СГИ!$Q$1:$AJ$2,2)))=1,CONCATENATE("при измерении ",$O52," ",R$50," не допускается ! "),"")</f>
      </c>
      <c r="S52" s="587">
        <f>IF(IF(ISNA(INDEX(СГИ!$Q$3:$AJ$22,VLOOKUP($O52,СГИ!$O$3:$P$22,2),HLOOKUP(S$50,СГИ!$Q$1:$AJ$2,2))),"",INDEX(СГИ!$Q$3:$AJ$22,VLOOKUP($O52,СГИ!$O$3:$P$22,2),HLOOKUP(S$50,СГИ!$Q$1:$AJ$2,2)))=1,CONCATENATE("при измерении ",$O52," ",S$50," не допускается ! "),"")</f>
      </c>
      <c r="T52" s="587">
        <f>IF(IF(ISNA(INDEX(СГИ!$Q$3:$AJ$22,VLOOKUP($O52,СГИ!$O$3:$P$22,2),HLOOKUP(T$50,СГИ!$Q$1:$AJ$2,2))),"",INDEX(СГИ!$Q$3:$AJ$22,VLOOKUP($O52,СГИ!$O$3:$P$22,2),HLOOKUP(T$50,СГИ!$Q$1:$AJ$2,2)))=1,CONCATENATE("при измерении ",$O52," ",T$50," не допускается ! "),"")</f>
      </c>
      <c r="U52" s="587">
        <f>IF(IF(ISNA(INDEX(СГИ!$Q$3:$AJ$22,VLOOKUP($O52,СГИ!$O$3:$P$22,2),HLOOKUP(U$50,СГИ!$Q$1:$AJ$2,2))),"",INDEX(СГИ!$Q$3:$AJ$22,VLOOKUP($O52,СГИ!$O$3:$P$22,2),HLOOKUP(U$50,СГИ!$Q$1:$AJ$2,2)))=1,CONCATENATE("при измерении ",$O52," ",U$50," не допускается ! "),"")</f>
      </c>
      <c r="V52" s="587">
        <f>IF(IF(ISNA(INDEX(СГИ!$Q$3:$AJ$22,VLOOKUP($O52,СГИ!$O$3:$P$22,2),HLOOKUP(V$50,СГИ!$Q$1:$AJ$2,2))),"",INDEX(СГИ!$Q$3:$AJ$22,VLOOKUP($O52,СГИ!$O$3:$P$22,2),HLOOKUP(V$50,СГИ!$Q$1:$AJ$2,2)))=1,CONCATENATE("при измерении ",$O52," ",V$50," не допускается ! "),"")</f>
      </c>
      <c r="W52" s="587"/>
      <c r="X52" s="587">
        <f>IF(IF(ISNA(INDEX(СГИ!$Q$3:$AJ$22,VLOOKUP($O52,СГИ!$O$3:$P$22,2),HLOOKUP(X$50,СГИ!$Q$1:$AJ$2,2))),"",INDEX(СГИ!$Q$3:$AJ$22,VLOOKUP($O52,СГИ!$O$3:$P$22,2),HLOOKUP(X$50,СГИ!$Q$1:$AJ$2,2)))=1,CONCATENATE("при измерении ",$O52," ",X$50," не допускается ! "),"")</f>
      </c>
      <c r="Y52" s="587">
        <f>IF(IF(ISNA(INDEX(СГИ!$Q$3:$AJ$22,VLOOKUP($O52,СГИ!$O$3:$P$22,2),HLOOKUP(Y$50,СГИ!$Q$1:$AJ$2,2))),"",INDEX(СГИ!$Q$3:$AJ$22,VLOOKUP($O52,СГИ!$O$3:$P$22,2),HLOOKUP(Y$50,СГИ!$Q$1:$AJ$2,2)))=1,CONCATENATE("при измерении ",$O52," ",Y$50," не допускается ! "),"")</f>
      </c>
      <c r="Z52" s="587">
        <f>IF(IF(ISNA(INDEX(СГИ!$Q$3:$AJ$22,VLOOKUP($O52,СГИ!$O$3:$P$22,2),HLOOKUP(Z$50,СГИ!$Q$1:$AJ$2,2))),"",INDEX(СГИ!$Q$3:$AJ$22,VLOOKUP($O52,СГИ!$O$3:$P$22,2),HLOOKUP(Z$50,СГИ!$Q$1:$AJ$2,2)))=1,CONCATENATE("при измерении ",$O52," ",Z$50," не допускается ! "),"")</f>
      </c>
      <c r="AA52" s="587">
        <f>IF(IF(ISNA(INDEX(СГИ!$Q$3:$AJ$22,VLOOKUP($O52,СГИ!$O$3:$P$22,2),HLOOKUP(AA$50,СГИ!$Q$1:$AJ$2,2))),"",INDEX(СГИ!$Q$3:$AJ$22,VLOOKUP($O52,СГИ!$O$3:$P$22,2),HLOOKUP(AA$50,СГИ!$Q$1:$AJ$2,2)))=1,CONCATENATE("при измерении ",$O52," ",AA$50," не допускается ! "),"")</f>
      </c>
      <c r="AB52" s="587">
        <f>IF(IF(ISNA(INDEX(СГИ!$Q$3:$AJ$22,VLOOKUP($O52,СГИ!$O$3:$P$22,2),HLOOKUP(AB$50,СГИ!$Q$1:$AJ$2,2))),"",INDEX(СГИ!$Q$3:$AJ$22,VLOOKUP($O52,СГИ!$O$3:$P$22,2),HLOOKUP(AB$50,СГИ!$Q$1:$AJ$2,2)))=1,CONCATENATE("при измерении ",$O52," ",AB$50," не допускается ! "),"")</f>
      </c>
      <c r="AC52" s="587">
        <f>IF(IF(ISNA(INDEX(СГИ!$Q$3:$AJ$22,VLOOKUP($O52,СГИ!$O$3:$P$22,2),HLOOKUP(AC$50,СГИ!$Q$1:$AJ$2,2))),"",INDEX(СГИ!$Q$3:$AJ$22,VLOOKUP($O52,СГИ!$O$3:$P$22,2),HLOOKUP(AC$50,СГИ!$Q$1:$AJ$2,2)))=1,CONCATENATE("при измерении ",$O52," ",AC$50," не допускается ! "),"")</f>
      </c>
      <c r="AD52" s="587">
        <f>IF(IF(ISNA(INDEX(СГИ!$Q$3:$AJ$22,VLOOKUP($O52,СГИ!$O$3:$P$22,2),HLOOKUP(AD$50,СГИ!$Q$1:$AJ$2,2))),"",INDEX(СГИ!$Q$3:$AJ$22,VLOOKUP($O52,СГИ!$O$3:$P$22,2),HLOOKUP(AD$50,СГИ!$Q$1:$AJ$2,2)))=1,CONCATENATE("при измерении ",$O52," ",AD$50," не допускается ! "),"")</f>
      </c>
      <c r="AE52" s="587">
        <f>IF(IF(ISNA(INDEX(СГИ!$Q$3:$AJ$22,VLOOKUP($O52,СГИ!$O$3:$P$22,2),HLOOKUP(AE$50,СГИ!$Q$1:$AJ$2,2))),"",INDEX(СГИ!$Q$3:$AJ$22,VLOOKUP($O52,СГИ!$O$3:$P$22,2),HLOOKUP(AE$50,СГИ!$Q$1:$AJ$2,2)))=1,CONCATENATE("при измерении ",$O52," ",AE$50," не допускается ! "),"")</f>
      </c>
      <c r="AF52" s="587">
        <f>IF(IF(ISNA(INDEX(СГИ!$Q$3:$AJ$22,VLOOKUP($O52,СГИ!$O$3:$P$22,2),HLOOKUP(AF$50,СГИ!$Q$1:$AJ$2,2))),"",INDEX(СГИ!$Q$3:$AJ$22,VLOOKUP($O52,СГИ!$O$3:$P$22,2),HLOOKUP(AF$50,СГИ!$Q$1:$AJ$2,2)))=1,CONCATENATE("при измерении ",$O52," ",AF$50," не допускается ! "),"")</f>
      </c>
      <c r="AG52" s="615">
        <f>IF(IF(ISNA(INDEX(СГИ!$Q$3:$AJ$22,VLOOKUP($O52,СГИ!$O$3:$P$22,2),HLOOKUP(AG$50,СГИ!$Q$1:$AJ$2,2))),"",INDEX(СГИ!$Q$3:$AJ$22,VLOOKUP($O52,СГИ!$O$3:$P$22,2),HLOOKUP(AG$50,СГИ!$Q$1:$AJ$2,2)))=1,CONCATENATE("при измерении ",$O52," ",AG$50," не допускается ! "),"")</f>
      </c>
      <c r="AH52" s="1">
        <f t="shared" si="1"/>
      </c>
      <c r="AJ52" s="807" t="s">
        <v>605</v>
      </c>
      <c r="AK52" s="1" t="s">
        <v>600</v>
      </c>
    </row>
    <row r="53" spans="1:37" ht="33" customHeight="1" thickBot="1">
      <c r="A53" s="575">
        <f>CONCATENATE('И11-Переносные с вын. БД'!I7,'И11-Переносные с вын. БД'!I8,'И11-Переносные с вын. БД'!I9,'И11-Переносные с вын. БД'!I10,'И11-Переносные с вын. БД'!I11,'И11-Переносные с вын. БД'!I12)</f>
      </c>
      <c r="B53" s="512" t="s">
        <v>575</v>
      </c>
      <c r="E53" s="536"/>
      <c r="G53" s="575">
        <f>IF(AND('И11-Переносные с вын. БД'!L6=1,SUM('И11-Переносные с вын. БД'!D9:D11)=1),IF(SUM('И11-Переносные с вын. БД'!D12:D13)&lt;2,"",I64),"")</f>
      </c>
      <c r="H53" s="847" t="s">
        <v>711</v>
      </c>
      <c r="I53" s="576" t="s">
        <v>547</v>
      </c>
      <c r="J53" s="763">
        <f>IF('И11-Переносные с вын. БД'!D9&gt;0,ПГ!D9,"")</f>
      </c>
      <c r="K53" s="766" t="s">
        <v>529</v>
      </c>
      <c r="L53" s="749">
        <f>IF('И11-Переносные с вын. БД'!J26=3,1575,0)</f>
        <v>0</v>
      </c>
      <c r="M53" s="536">
        <v>1575</v>
      </c>
      <c r="N53" s="561"/>
      <c r="O53" s="614">
        <f>MID('И11-Переносные с вын. БД'!I9,2,9)</f>
      </c>
      <c r="P53" s="587">
        <f>IF(IF(ISNA(INDEX(СГИ!$Q$3:$AJ$22,VLOOKUP($O53,СГИ!$O$3:$P$22,2),HLOOKUP(P$50,СГИ!$Q$1:$AJ$2,2))),"",INDEX(СГИ!$Q$3:$AJ$22,VLOOKUP($O53,СГИ!$O$3:$P$22,2),HLOOKUP(P$50,СГИ!$Q$1:$AJ$2,2)))=1,CONCATENATE("при измерении ",$O53," ",P$50," не допускается ! "),"")</f>
      </c>
      <c r="Q53" s="587">
        <f>IF(IF(ISNA(INDEX(СГИ!$Q$3:$AJ$22,VLOOKUP($O53,СГИ!$O$3:$P$22,2),HLOOKUP(Q$50,СГИ!$Q$1:$AJ$2,2))),"",INDEX(СГИ!$Q$3:$AJ$22,VLOOKUP($O53,СГИ!$O$3:$P$22,2),HLOOKUP(Q$50,СГИ!$Q$1:$AJ$2,2)))=1,CONCATENATE("при измерении ",$O53," ",Q$50," не допускается ! "),"")</f>
      </c>
      <c r="R53" s="587">
        <f>IF(IF(ISNA(INDEX(СГИ!$Q$3:$AJ$22,VLOOKUP($O53,СГИ!$O$3:$P$22,2),HLOOKUP(R$50,СГИ!$Q$1:$AJ$2,2))),"",INDEX(СГИ!$Q$3:$AJ$22,VLOOKUP($O53,СГИ!$O$3:$P$22,2),HLOOKUP(R$50,СГИ!$Q$1:$AJ$2,2)))=1,CONCATENATE("при измерении ",$O53," ",R$50," не допускается ! "),"")</f>
      </c>
      <c r="S53" s="587">
        <f>IF(IF(ISNA(INDEX(СГИ!$Q$3:$AJ$22,VLOOKUP($O53,СГИ!$O$3:$P$22,2),HLOOKUP(S$50,СГИ!$Q$1:$AJ$2,2))),"",INDEX(СГИ!$Q$3:$AJ$22,VLOOKUP($O53,СГИ!$O$3:$P$22,2),HLOOKUP(S$50,СГИ!$Q$1:$AJ$2,2)))=1,CONCATENATE("при измерении ",$O53," ",S$50," не допускается ! "),"")</f>
      </c>
      <c r="T53" s="587">
        <f>IF(IF(ISNA(INDEX(СГИ!$Q$3:$AJ$22,VLOOKUP($O53,СГИ!$O$3:$P$22,2),HLOOKUP(T$50,СГИ!$Q$1:$AJ$2,2))),"",INDEX(СГИ!$Q$3:$AJ$22,VLOOKUP($O53,СГИ!$O$3:$P$22,2),HLOOKUP(T$50,СГИ!$Q$1:$AJ$2,2)))=1,CONCATENATE("при измерении ",$O53," ",T$50," не допускается ! "),"")</f>
      </c>
      <c r="U53" s="587">
        <f>IF(IF(ISNA(INDEX(СГИ!$Q$3:$AJ$22,VLOOKUP($O53,СГИ!$O$3:$P$22,2),HLOOKUP(U$50,СГИ!$Q$1:$AJ$2,2))),"",INDEX(СГИ!$Q$3:$AJ$22,VLOOKUP($O53,СГИ!$O$3:$P$22,2),HLOOKUP(U$50,СГИ!$Q$1:$AJ$2,2)))=1,CONCATENATE("при измерении ",$O53," ",U$50," не допускается ! "),"")</f>
      </c>
      <c r="V53" s="587">
        <f>IF(IF(ISNA(INDEX(СГИ!$Q$3:$AJ$22,VLOOKUP($O53,СГИ!$O$3:$P$22,2),HLOOKUP(V$50,СГИ!$Q$1:$AJ$2,2))),"",INDEX(СГИ!$Q$3:$AJ$22,VLOOKUP($O53,СГИ!$O$3:$P$22,2),HLOOKUP(V$50,СГИ!$Q$1:$AJ$2,2)))=1,CONCATENATE("при измерении ",$O53," ",V$50," не допускается ! "),"")</f>
      </c>
      <c r="W53" s="587">
        <f>IF(IF(ISNA(INDEX(СГИ!$Q$3:$AJ$22,VLOOKUP($O53,СГИ!$O$3:$P$22,2),HLOOKUP(W$50,СГИ!$Q$1:$AJ$2,2))),"",INDEX(СГИ!$Q$3:$AJ$22,VLOOKUP($O53,СГИ!$O$3:$P$22,2),HLOOKUP(W$50,СГИ!$Q$1:$AJ$2,2)))=1,CONCATENATE("при измерении ",$O53," ",W$50," не допускается ! "),"")</f>
      </c>
      <c r="X53" s="587">
        <f>IF(IF(ISNA(INDEX(СГИ!$Q$3:$AJ$22,VLOOKUP($O53,СГИ!$O$3:$P$22,2),HLOOKUP(X$50,СГИ!$Q$1:$AJ$2,2))),"",INDEX(СГИ!$Q$3:$AJ$22,VLOOKUP($O53,СГИ!$O$3:$P$22,2),HLOOKUP(X$50,СГИ!$Q$1:$AJ$2,2)))=1,CONCATENATE("при измерении ",$O53," ",X$50," не допускается ! "),"")</f>
      </c>
      <c r="Y53" s="587">
        <f>IF(IF(ISNA(INDEX(СГИ!$Q$3:$AJ$22,VLOOKUP($O53,СГИ!$O$3:$P$22,2),HLOOKUP(Y$50,СГИ!$Q$1:$AJ$2,2))),"",INDEX(СГИ!$Q$3:$AJ$22,VLOOKUP($O53,СГИ!$O$3:$P$22,2),HLOOKUP(Y$50,СГИ!$Q$1:$AJ$2,2)))=1,CONCATENATE("при измерении ",$O53," ",Y$50," не допускается ! "),"")</f>
      </c>
      <c r="Z53" s="587">
        <f>IF(IF(ISNA(INDEX(СГИ!$Q$3:$AJ$22,VLOOKUP($O53,СГИ!$O$3:$P$22,2),HLOOKUP(Z$50,СГИ!$Q$1:$AJ$2,2))),"",INDEX(СГИ!$Q$3:$AJ$22,VLOOKUP($O53,СГИ!$O$3:$P$22,2),HLOOKUP(Z$50,СГИ!$Q$1:$AJ$2,2)))=1,CONCATENATE("при измерении ",$O53," ",Z$50," не допускается ! "),"")</f>
      </c>
      <c r="AA53" s="587">
        <f>IF(IF(ISNA(INDEX(СГИ!$Q$3:$AJ$22,VLOOKUP($O53,СГИ!$O$3:$P$22,2),HLOOKUP(AA$50,СГИ!$Q$1:$AJ$2,2))),"",INDEX(СГИ!$Q$3:$AJ$22,VLOOKUP($O53,СГИ!$O$3:$P$22,2),HLOOKUP(AA$50,СГИ!$Q$1:$AJ$2,2)))=1,CONCATENATE("при измерении ",$O53," ",AA$50," не допускается ! "),"")</f>
      </c>
      <c r="AB53" s="587">
        <f>IF(IF(ISNA(INDEX(СГИ!$Q$3:$AJ$22,VLOOKUP($O53,СГИ!$O$3:$P$22,2),HLOOKUP(AB$50,СГИ!$Q$1:$AJ$2,2))),"",INDEX(СГИ!$Q$3:$AJ$22,VLOOKUP($O53,СГИ!$O$3:$P$22,2),HLOOKUP(AB$50,СГИ!$Q$1:$AJ$2,2)))=1,CONCATENATE("при измерении ",$O53," ",AB$50," не допускается ! "),"")</f>
      </c>
      <c r="AC53" s="587">
        <f>IF(IF(ISNA(INDEX(СГИ!$Q$3:$AJ$22,VLOOKUP($O53,СГИ!$O$3:$P$22,2),HLOOKUP(AC$50,СГИ!$Q$1:$AJ$2,2))),"",INDEX(СГИ!$Q$3:$AJ$22,VLOOKUP($O53,СГИ!$O$3:$P$22,2),HLOOKUP(AC$50,СГИ!$Q$1:$AJ$2,2)))=1,CONCATENATE("при измерении ",$O53," ",AC$50," не допускается ! "),"")</f>
      </c>
      <c r="AD53" s="587">
        <f>IF(IF(ISNA(INDEX(СГИ!$Q$3:$AJ$22,VLOOKUP($O53,СГИ!$O$3:$P$22,2),HLOOKUP(AD$50,СГИ!$Q$1:$AJ$2,2))),"",INDEX(СГИ!$Q$3:$AJ$22,VLOOKUP($O53,СГИ!$O$3:$P$22,2),HLOOKUP(AD$50,СГИ!$Q$1:$AJ$2,2)))=1,CONCATENATE("при измерении ",$O53," ",AD$50," не допускается ! "),"")</f>
      </c>
      <c r="AE53" s="587">
        <f>IF(IF(ISNA(INDEX(СГИ!$Q$3:$AJ$22,VLOOKUP($O53,СГИ!$O$3:$P$22,2),HLOOKUP(AE$50,СГИ!$Q$1:$AJ$2,2))),"",INDEX(СГИ!$Q$3:$AJ$22,VLOOKUP($O53,СГИ!$O$3:$P$22,2),HLOOKUP(AE$50,СГИ!$Q$1:$AJ$2,2)))=1,CONCATENATE("при измерении ",$O53," ",AE$50," не допускается ! "),"")</f>
      </c>
      <c r="AF53" s="587">
        <f>IF(IF(ISNA(INDEX(СГИ!$Q$3:$AJ$22,VLOOKUP($O53,СГИ!$O$3:$P$22,2),HLOOKUP(AF$50,СГИ!$Q$1:$AJ$2,2))),"",INDEX(СГИ!$Q$3:$AJ$22,VLOOKUP($O53,СГИ!$O$3:$P$22,2),HLOOKUP(AF$50,СГИ!$Q$1:$AJ$2,2)))=1,CONCATENATE("при измерении ",$O53," ",AF$50," не допускается ! "),"")</f>
      </c>
      <c r="AG53" s="615">
        <f>IF(IF(ISNA(INDEX(СГИ!$Q$3:$AJ$22,VLOOKUP($O53,СГИ!$O$3:$P$22,2),HLOOKUP(AG$50,СГИ!$Q$1:$AJ$2,2))),"",INDEX(СГИ!$Q$3:$AJ$22,VLOOKUP($O53,СГИ!$O$3:$P$22,2),HLOOKUP(AG$50,СГИ!$Q$1:$AJ$2,2)))=1,CONCATENATE("при измерении ",$O53," ",AG$50," не допускается ! "),"")</f>
      </c>
      <c r="AH53" s="1">
        <f t="shared" si="1"/>
      </c>
      <c r="AJ53" s="807" t="s">
        <v>746</v>
      </c>
      <c r="AK53" s="1" t="s">
        <v>601</v>
      </c>
    </row>
    <row r="54" spans="1:37" ht="33" customHeight="1" thickBot="1">
      <c r="A54" s="575" t="str">
        <f>IF('И11-Переносные с вын. БД'!D$22+'И11-Переносные с вын. БД'!D$23&gt;0,CONCATENATE("индикатор",'И11-Переносные с вын. БД'!I$22,'И11-Переносные с вын. БД'!I$23),IF('И11-Переносные с вын. БД'!H$2="","",'И11-Переносные с вын. БД'!H$2))</f>
        <v>ОКА-</v>
      </c>
      <c r="B54" s="512" t="s">
        <v>647</v>
      </c>
      <c r="G54" s="575">
        <f>IF('И11-Переносные с вын. БД'!L6=1,IF(SUM('И11-Переносные с вын. БД'!D14:D23)&lt;3,"",I55),"")</f>
      </c>
      <c r="H54" s="847" t="s">
        <v>712</v>
      </c>
      <c r="I54" s="576" t="s">
        <v>590</v>
      </c>
      <c r="J54" s="763">
        <f>IF('И11-Переносные с вын. БД'!D10&gt;0,ПГ!D10,"")</f>
      </c>
      <c r="K54" s="766" t="s">
        <v>539</v>
      </c>
      <c r="L54" s="749">
        <f>IF('И11-Переносные с вын. БД'!J26&gt;3,-2060,0)</f>
        <v>0</v>
      </c>
      <c r="M54" s="536">
        <v>-2060</v>
      </c>
      <c r="N54" s="561"/>
      <c r="O54" s="614">
        <f>MID('И11-Переносные с вын. БД'!I10,2,9)</f>
      </c>
      <c r="P54" s="587">
        <f>IF(IF(ISNA(INDEX(СГИ!$Q$3:$AJ$22,VLOOKUP($O54,СГИ!$O$3:$P$22,2),HLOOKUP(P$50,СГИ!$Q$1:$AJ$2,2))),"",INDEX(СГИ!$Q$3:$AJ$22,VLOOKUP($O54,СГИ!$O$3:$P$22,2),HLOOKUP(P$50,СГИ!$Q$1:$AJ$2,2)))=1,CONCATENATE("при измерении ",$O54," ",P$50," не допускается ! "),"")</f>
      </c>
      <c r="Q54" s="587">
        <f>IF(IF(ISNA(INDEX(СГИ!$Q$3:$AJ$22,VLOOKUP($O54,СГИ!$O$3:$P$22,2),HLOOKUP(Q$50,СГИ!$Q$1:$AJ$2,2))),"",INDEX(СГИ!$Q$3:$AJ$22,VLOOKUP($O54,СГИ!$O$3:$P$22,2),HLOOKUP(Q$50,СГИ!$Q$1:$AJ$2,2)))=1,CONCATENATE("при измерении ",$O54," ",Q$50," не допускается ! "),"")</f>
      </c>
      <c r="R54" s="587">
        <f>IF(IF(ISNA(INDEX(СГИ!$Q$3:$AJ$22,VLOOKUP($O54,СГИ!$O$3:$P$22,2),HLOOKUP(R$50,СГИ!$Q$1:$AJ$2,2))),"",INDEX(СГИ!$Q$3:$AJ$22,VLOOKUP($O54,СГИ!$O$3:$P$22,2),HLOOKUP(R$50,СГИ!$Q$1:$AJ$2,2)))=1,CONCATENATE("при измерении ",$O54," ",R$50," не допускается ! "),"")</f>
      </c>
      <c r="S54" s="587">
        <f>IF(IF(ISNA(INDEX(СГИ!$Q$3:$AJ$22,VLOOKUP($O54,СГИ!$O$3:$P$22,2),HLOOKUP(S$50,СГИ!$Q$1:$AJ$2,2))),"",INDEX(СГИ!$Q$3:$AJ$22,VLOOKUP($O54,СГИ!$O$3:$P$22,2),HLOOKUP(S$50,СГИ!$Q$1:$AJ$2,2)))=1,CONCATENATE("при измерении ",$O54," ",S$50," не допускается ! "),"")</f>
      </c>
      <c r="T54" s="587">
        <f>IF(IF(ISNA(INDEX(СГИ!$Q$3:$AJ$22,VLOOKUP($O54,СГИ!$O$3:$P$22,2),HLOOKUP(T$50,СГИ!$Q$1:$AJ$2,2))),"",INDEX(СГИ!$Q$3:$AJ$22,VLOOKUP($O54,СГИ!$O$3:$P$22,2),HLOOKUP(T$50,СГИ!$Q$1:$AJ$2,2)))=1,CONCATENATE("при измерении ",$O54," ",T$50," не допускается ! "),"")</f>
      </c>
      <c r="U54" s="587">
        <f>IF(IF(ISNA(INDEX(СГИ!$Q$3:$AJ$22,VLOOKUP($O54,СГИ!$O$3:$P$22,2),HLOOKUP(U$50,СГИ!$Q$1:$AJ$2,2))),"",INDEX(СГИ!$Q$3:$AJ$22,VLOOKUP($O54,СГИ!$O$3:$P$22,2),HLOOKUP(U$50,СГИ!$Q$1:$AJ$2,2)))=1,CONCATENATE("при измерении ",$O54," ",U$50," не допускается ! "),"")</f>
      </c>
      <c r="V54" s="587">
        <f>IF(IF(ISNA(INDEX(СГИ!$Q$3:$AJ$22,VLOOKUP($O54,СГИ!$O$3:$P$22,2),HLOOKUP(V$50,СГИ!$Q$1:$AJ$2,2))),"",INDEX(СГИ!$Q$3:$AJ$22,VLOOKUP($O54,СГИ!$O$3:$P$22,2),HLOOKUP(V$50,СГИ!$Q$1:$AJ$2,2)))=1,CONCATENATE("при измерении ",$O54," ",V$50," не допускается ! "),"")</f>
      </c>
      <c r="W54" s="587">
        <f>IF(IF(ISNA(INDEX(СГИ!$Q$3:$AJ$22,VLOOKUP($O54,СГИ!$O$3:$P$22,2),HLOOKUP(W$50,СГИ!$Q$1:$AJ$2,2))),"",INDEX(СГИ!$Q$3:$AJ$22,VLOOKUP($O54,СГИ!$O$3:$P$22,2),HLOOKUP(W$50,СГИ!$Q$1:$AJ$2,2)))=1,CONCATENATE("при измерении ",$O54," ",W$50," не допускается ! "),"")</f>
      </c>
      <c r="X54" s="587">
        <f>IF(IF(ISNA(INDEX(СГИ!$Q$3:$AJ$22,VLOOKUP($O54,СГИ!$O$3:$P$22,2),HLOOKUP(X$50,СГИ!$Q$1:$AJ$2,2))),"",INDEX(СГИ!$Q$3:$AJ$22,VLOOKUP($O54,СГИ!$O$3:$P$22,2),HLOOKUP(X$50,СГИ!$Q$1:$AJ$2,2)))=1,CONCATENATE("при измерении ",$O54," ",X$50," не допускается ! "),"")</f>
      </c>
      <c r="Y54" s="587">
        <f>IF(IF(ISNA(INDEX(СГИ!$Q$3:$AJ$22,VLOOKUP($O54,СГИ!$O$3:$P$22,2),HLOOKUP(Y$50,СГИ!$Q$1:$AJ$2,2))),"",INDEX(СГИ!$Q$3:$AJ$22,VLOOKUP($O54,СГИ!$O$3:$P$22,2),HLOOKUP(Y$50,СГИ!$Q$1:$AJ$2,2)))=1,CONCATENATE("при измерении ",$O54," ",Y$50," не допускается ! "),"")</f>
      </c>
      <c r="Z54" s="587">
        <f>IF(IF(ISNA(INDEX(СГИ!$Q$3:$AJ$22,VLOOKUP($O54,СГИ!$O$3:$P$22,2),HLOOKUP(Z$50,СГИ!$Q$1:$AJ$2,2))),"",INDEX(СГИ!$Q$3:$AJ$22,VLOOKUP($O54,СГИ!$O$3:$P$22,2),HLOOKUP(Z$50,СГИ!$Q$1:$AJ$2,2)))=1,CONCATENATE("при измерении ",$O54," ",Z$50," не допускается ! "),"")</f>
      </c>
      <c r="AA54" s="587">
        <f>IF(IF(ISNA(INDEX(СГИ!$Q$3:$AJ$22,VLOOKUP($O54,СГИ!$O$3:$P$22,2),HLOOKUP(AA$50,СГИ!$Q$1:$AJ$2,2))),"",INDEX(СГИ!$Q$3:$AJ$22,VLOOKUP($O54,СГИ!$O$3:$P$22,2),HLOOKUP(AA$50,СГИ!$Q$1:$AJ$2,2)))=1,CONCATENATE("при измерении ",$O54," ",AA$50," не допускается ! "),"")</f>
      </c>
      <c r="AB54" s="587">
        <f>IF(IF(ISNA(INDEX(СГИ!$Q$3:$AJ$22,VLOOKUP($O54,СГИ!$O$3:$P$22,2),HLOOKUP(AB$50,СГИ!$Q$1:$AJ$2,2))),"",INDEX(СГИ!$Q$3:$AJ$22,VLOOKUP($O54,СГИ!$O$3:$P$22,2),HLOOKUP(AB$50,СГИ!$Q$1:$AJ$2,2)))=1,CONCATENATE("при измерении ",$O54," ",AB$50," не допускается ! "),"")</f>
      </c>
      <c r="AC54" s="587">
        <f>IF(IF(ISNA(INDEX(СГИ!$Q$3:$AJ$22,VLOOKUP($O54,СГИ!$O$3:$P$22,2),HLOOKUP(AC$50,СГИ!$Q$1:$AJ$2,2))),"",INDEX(СГИ!$Q$3:$AJ$22,VLOOKUP($O54,СГИ!$O$3:$P$22,2),HLOOKUP(AC$50,СГИ!$Q$1:$AJ$2,2)))=1,CONCATENATE("при измерении ",$O54," ",AC$50," не допускается ! "),"")</f>
      </c>
      <c r="AD54" s="587">
        <f>IF(IF(ISNA(INDEX(СГИ!$Q$3:$AJ$22,VLOOKUP($O54,СГИ!$O$3:$P$22,2),HLOOKUP(AD$50,СГИ!$Q$1:$AJ$2,2))),"",INDEX(СГИ!$Q$3:$AJ$22,VLOOKUP($O54,СГИ!$O$3:$P$22,2),HLOOKUP(AD$50,СГИ!$Q$1:$AJ$2,2)))=1,CONCATENATE("при измерении ",$O54," ",AD$50," не допускается ! "),"")</f>
      </c>
      <c r="AE54" s="587">
        <f>IF(IF(ISNA(INDEX(СГИ!$Q$3:$AJ$22,VLOOKUP($O54,СГИ!$O$3:$P$22,2),HLOOKUP(AE$50,СГИ!$Q$1:$AJ$2,2))),"",INDEX(СГИ!$Q$3:$AJ$22,VLOOKUP($O54,СГИ!$O$3:$P$22,2),HLOOKUP(AE$50,СГИ!$Q$1:$AJ$2,2)))=1,CONCATENATE("при измерении ",$O54," ",AE$50," не допускается ! "),"")</f>
      </c>
      <c r="AF54" s="587">
        <f>IF(IF(ISNA(INDEX(СГИ!$Q$3:$AJ$22,VLOOKUP($O54,СГИ!$O$3:$P$22,2),HLOOKUP(AF$50,СГИ!$Q$1:$AJ$2,2))),"",INDEX(СГИ!$Q$3:$AJ$22,VLOOKUP($O54,СГИ!$O$3:$P$22,2),HLOOKUP(AF$50,СГИ!$Q$1:$AJ$2,2)))=1,CONCATENATE("при измерении ",$O54," ",AF$50," не допускается ! "),"")</f>
      </c>
      <c r="AG54" s="615">
        <f>IF(IF(ISNA(INDEX(СГИ!$Q$3:$AJ$22,VLOOKUP($O54,СГИ!$O$3:$P$22,2),HLOOKUP(AG$50,СГИ!$Q$1:$AJ$2,2))),"",INDEX(СГИ!$Q$3:$AJ$22,VLOOKUP($O54,СГИ!$O$3:$P$22,2),HLOOKUP(AG$50,СГИ!$Q$1:$AJ$2,2)))=1,CONCATENATE("при измерении ",$O54," ",AG$50," не допускается ! "),"")</f>
      </c>
      <c r="AH54" s="1">
        <f t="shared" si="1"/>
      </c>
      <c r="AJ54" s="807" t="s">
        <v>751</v>
      </c>
      <c r="AK54" s="1" t="s">
        <v>741</v>
      </c>
    </row>
    <row r="55" spans="1:37" ht="33" customHeight="1" thickBot="1">
      <c r="A55" s="512"/>
      <c r="B55" s="512"/>
      <c r="G55" s="575">
        <f>IF(AND('И11-Переносные с вын. БД'!L6=1,'И11-Переносные с вын. БД'!J26&gt;5),$I$55,"")</f>
      </c>
      <c r="H55" s="847" t="s">
        <v>722</v>
      </c>
      <c r="I55" s="576" t="s">
        <v>546</v>
      </c>
      <c r="J55" s="763">
        <f>IF('И11-Переносные с вын. БД'!D11&gt;0,ПГ!D11,"")</f>
      </c>
      <c r="K55" s="766" t="s">
        <v>530</v>
      </c>
      <c r="L55" s="749">
        <f>IF(NOT('И11-Переносные с вын. БД'!H8="взрывозащита предусмотрена"),0,VLOOKUP('И11-Переносные с вын. БД'!J26,ПГ!$B$26:$C$29,2))</f>
        <v>0</v>
      </c>
      <c r="M55" s="557" t="str">
        <f>CONCATENATE(ПГ!$C$26," или ",ПГ!$C$27," или ",ПГ!$C$28," или ",ПГ!$C$29)</f>
        <v>3545 или 4720 или 5910 или 7090</v>
      </c>
      <c r="N55" s="561"/>
      <c r="O55" s="614">
        <f>MID('И11-Переносные с вын. БД'!I11,2,9)</f>
      </c>
      <c r="P55" s="587">
        <f>IF(IF(ISNA(INDEX(СГИ!$Q$3:$AJ$22,VLOOKUP($O55,СГИ!$O$3:$P$22,2),HLOOKUP(P$50,СГИ!$Q$1:$AJ$2,2))),"",INDEX(СГИ!$Q$3:$AJ$22,VLOOKUP($O55,СГИ!$O$3:$P$22,2),HLOOKUP(P$50,СГИ!$Q$1:$AJ$2,2)))=1,CONCATENATE("при измерении ",$O55," ",P$50," не допускается ! "),"")</f>
      </c>
      <c r="Q55" s="587">
        <f>IF(IF(ISNA(INDEX(СГИ!$Q$3:$AJ$22,VLOOKUP($O55,СГИ!$O$3:$P$22,2),HLOOKUP(Q$50,СГИ!$Q$1:$AJ$2,2))),"",INDEX(СГИ!$Q$3:$AJ$22,VLOOKUP($O55,СГИ!$O$3:$P$22,2),HLOOKUP(Q$50,СГИ!$Q$1:$AJ$2,2)))=1,CONCATENATE("при измерении ",$O55," ",Q$50," не допускается ! "),"")</f>
      </c>
      <c r="R55" s="587">
        <f>IF(IF(ISNA(INDEX(СГИ!$Q$3:$AJ$22,VLOOKUP($O55,СГИ!$O$3:$P$22,2),HLOOKUP(R$50,СГИ!$Q$1:$AJ$2,2))),"",INDEX(СГИ!$Q$3:$AJ$22,VLOOKUP($O55,СГИ!$O$3:$P$22,2),HLOOKUP(R$50,СГИ!$Q$1:$AJ$2,2)))=1,CONCATENATE("при измерении ",$O55," ",R$50," не допускается ! "),"")</f>
      </c>
      <c r="S55" s="587">
        <f>IF(IF(ISNA(INDEX(СГИ!$Q$3:$AJ$22,VLOOKUP($O55,СГИ!$O$3:$P$22,2),HLOOKUP(S$50,СГИ!$Q$1:$AJ$2,2))),"",INDEX(СГИ!$Q$3:$AJ$22,VLOOKUP($O55,СГИ!$O$3:$P$22,2),HLOOKUP(S$50,СГИ!$Q$1:$AJ$2,2)))=1,CONCATENATE("при измерении ",$O55," ",S$50," не допускается ! "),"")</f>
      </c>
      <c r="T55" s="587">
        <f>IF(IF(ISNA(INDEX(СГИ!$Q$3:$AJ$22,VLOOKUP($O55,СГИ!$O$3:$P$22,2),HLOOKUP(T$50,СГИ!$Q$1:$AJ$2,2))),"",INDEX(СГИ!$Q$3:$AJ$22,VLOOKUP($O55,СГИ!$O$3:$P$22,2),HLOOKUP(T$50,СГИ!$Q$1:$AJ$2,2)))=1,CONCATENATE("при измерении ",$O55," ",T$50," не допускается ! "),"")</f>
      </c>
      <c r="U55" s="587">
        <f>IF(IF(ISNA(INDEX(СГИ!$Q$3:$AJ$22,VLOOKUP($O55,СГИ!$O$3:$P$22,2),HLOOKUP(U$50,СГИ!$Q$1:$AJ$2,2))),"",INDEX(СГИ!$Q$3:$AJ$22,VLOOKUP($O55,СГИ!$O$3:$P$22,2),HLOOKUP(U$50,СГИ!$Q$1:$AJ$2,2)))=1,CONCATENATE("при измерении ",$O55," ",U$50," не допускается ! "),"")</f>
      </c>
      <c r="V55" s="587">
        <f>IF(IF(ISNA(INDEX(СГИ!$Q$3:$AJ$22,VLOOKUP($O55,СГИ!$O$3:$P$22,2),HLOOKUP(V$50,СГИ!$Q$1:$AJ$2,2))),"",INDEX(СГИ!$Q$3:$AJ$22,VLOOKUP($O55,СГИ!$O$3:$P$22,2),HLOOKUP(V$50,СГИ!$Q$1:$AJ$2,2)))=1,CONCATENATE("при измерении ",$O55," ",V$50," не допускается ! "),"")</f>
      </c>
      <c r="W55" s="587">
        <f>IF(IF(ISNA(INDEX(СГИ!$Q$3:$AJ$22,VLOOKUP($O55,СГИ!$O$3:$P$22,2),HLOOKUP(W$50,СГИ!$Q$1:$AJ$2,2))),"",INDEX(СГИ!$Q$3:$AJ$22,VLOOKUP($O55,СГИ!$O$3:$P$22,2),HLOOKUP(W$50,СГИ!$Q$1:$AJ$2,2)))=1,CONCATENATE("при измерении ",$O55," ",W$50," не допускается ! "),"")</f>
      </c>
      <c r="X55" s="587">
        <f>IF(IF(ISNA(INDEX(СГИ!$Q$3:$AJ$22,VLOOKUP($O55,СГИ!$O$3:$P$22,2),HLOOKUP(X$50,СГИ!$Q$1:$AJ$2,2))),"",INDEX(СГИ!$Q$3:$AJ$22,VLOOKUP($O55,СГИ!$O$3:$P$22,2),HLOOKUP(X$50,СГИ!$Q$1:$AJ$2,2)))=1,CONCATENATE("при измерении ",$O55," ",X$50," не допускается ! "),"")</f>
      </c>
      <c r="Y55" s="587">
        <f>IF(IF(ISNA(INDEX(СГИ!$Q$3:$AJ$22,VLOOKUP($O55,СГИ!$O$3:$P$22,2),HLOOKUP(Y$50,СГИ!$Q$1:$AJ$2,2))),"",INDEX(СГИ!$Q$3:$AJ$22,VLOOKUP($O55,СГИ!$O$3:$P$22,2),HLOOKUP(Y$50,СГИ!$Q$1:$AJ$2,2)))=1,CONCATENATE("при измерении ",$O55," ",Y$50," не допускается ! "),"")</f>
      </c>
      <c r="Z55" s="587">
        <f>IF(IF(ISNA(INDEX(СГИ!$Q$3:$AJ$22,VLOOKUP($O55,СГИ!$O$3:$P$22,2),HLOOKUP(Z$50,СГИ!$Q$1:$AJ$2,2))),"",INDEX(СГИ!$Q$3:$AJ$22,VLOOKUP($O55,СГИ!$O$3:$P$22,2),HLOOKUP(Z$50,СГИ!$Q$1:$AJ$2,2)))=1,CONCATENATE("при измерении ",$O55," ",Z$50," не допускается ! "),"")</f>
      </c>
      <c r="AA55" s="587">
        <f>IF(IF(ISNA(INDEX(СГИ!$Q$3:$AJ$22,VLOOKUP($O55,СГИ!$O$3:$P$22,2),HLOOKUP(AA$50,СГИ!$Q$1:$AJ$2,2))),"",INDEX(СГИ!$Q$3:$AJ$22,VLOOKUP($O55,СГИ!$O$3:$P$22,2),HLOOKUP(AA$50,СГИ!$Q$1:$AJ$2,2)))=1,CONCATENATE("при измерении ",$O55," ",AA$50," не допускается ! "),"")</f>
      </c>
      <c r="AB55" s="587">
        <f>IF(IF(ISNA(INDEX(СГИ!$Q$3:$AJ$22,VLOOKUP($O55,СГИ!$O$3:$P$22,2),HLOOKUP(AB$50,СГИ!$Q$1:$AJ$2,2))),"",INDEX(СГИ!$Q$3:$AJ$22,VLOOKUP($O55,СГИ!$O$3:$P$22,2),HLOOKUP(AB$50,СГИ!$Q$1:$AJ$2,2)))=1,CONCATENATE("при измерении ",$O55," ",AB$50," не допускается ! "),"")</f>
      </c>
      <c r="AC55" s="587">
        <f>IF(IF(ISNA(INDEX(СГИ!$Q$3:$AJ$22,VLOOKUP($O55,СГИ!$O$3:$P$22,2),HLOOKUP(AC$50,СГИ!$Q$1:$AJ$2,2))),"",INDEX(СГИ!$Q$3:$AJ$22,VLOOKUP($O55,СГИ!$O$3:$P$22,2),HLOOKUP(AC$50,СГИ!$Q$1:$AJ$2,2)))=1,CONCATENATE("при измерении ",$O55," ",AC$50," не допускается ! "),"")</f>
      </c>
      <c r="AD55" s="587">
        <f>IF(IF(ISNA(INDEX(СГИ!$Q$3:$AJ$22,VLOOKUP($O55,СГИ!$O$3:$P$22,2),HLOOKUP(AD$50,СГИ!$Q$1:$AJ$2,2))),"",INDEX(СГИ!$Q$3:$AJ$22,VLOOKUP($O55,СГИ!$O$3:$P$22,2),HLOOKUP(AD$50,СГИ!$Q$1:$AJ$2,2)))=1,CONCATENATE("при измерении ",$O55," ",AD$50," не допускается ! "),"")</f>
      </c>
      <c r="AE55" s="587">
        <f>IF(IF(ISNA(INDEX(СГИ!$Q$3:$AJ$22,VLOOKUP($O55,СГИ!$O$3:$P$22,2),HLOOKUP(AE$50,СГИ!$Q$1:$AJ$2,2))),"",INDEX(СГИ!$Q$3:$AJ$22,VLOOKUP($O55,СГИ!$O$3:$P$22,2),HLOOKUP(AE$50,СГИ!$Q$1:$AJ$2,2)))=1,CONCATENATE("при измерении ",$O55," ",AE$50," не допускается ! "),"")</f>
      </c>
      <c r="AF55" s="587">
        <f>IF(IF(ISNA(INDEX(СГИ!$Q$3:$AJ$22,VLOOKUP($O55,СГИ!$O$3:$P$22,2),HLOOKUP(AF$50,СГИ!$Q$1:$AJ$2,2))),"",INDEX(СГИ!$Q$3:$AJ$22,VLOOKUP($O55,СГИ!$O$3:$P$22,2),HLOOKUP(AF$50,СГИ!$Q$1:$AJ$2,2)))=1,CONCATENATE("при измерении ",$O55," ",AF$50," не допускается ! "),"")</f>
      </c>
      <c r="AG55" s="615">
        <f>IF(IF(ISNA(INDEX(СГИ!$Q$3:$AJ$22,VLOOKUP($O55,СГИ!$O$3:$P$22,2),HLOOKUP(AG$50,СГИ!$Q$1:$AJ$2,2))),"",INDEX(СГИ!$Q$3:$AJ$22,VLOOKUP($O55,СГИ!$O$3:$P$22,2),HLOOKUP(AG$50,СГИ!$Q$1:$AJ$2,2)))=1,CONCATENATE("при измерении ",$O55," ",AG$50," не допускается ! "),"")</f>
      </c>
      <c r="AH55" s="1">
        <f t="shared" si="1"/>
      </c>
      <c r="AJ55" s="807" t="s">
        <v>607</v>
      </c>
      <c r="AK55" s="1"/>
    </row>
    <row r="56" spans="2:37" ht="33" customHeight="1">
      <c r="B56"/>
      <c r="I56" s="274" t="s">
        <v>543</v>
      </c>
      <c r="J56" s="763">
        <f>IF('И11-Переносные с вын. БД'!D12&gt;0,ПГ!D12,"")</f>
      </c>
      <c r="K56" s="766" t="s">
        <v>526</v>
      </c>
      <c r="L56" s="749">
        <f>510*IF('И11-Переносные с вын. БД'!J24&gt;1,1,0)</f>
        <v>0</v>
      </c>
      <c r="M56" s="561">
        <v>510</v>
      </c>
      <c r="N56" s="561"/>
      <c r="O56" s="614">
        <f>MID('И11-Переносные с вын. БД'!I12,2,9)</f>
      </c>
      <c r="P56" s="587">
        <f>IF(IF(ISNA(INDEX(СГИ!$Q$3:$AJ$22,VLOOKUP($O56,СГИ!$O$3:$P$22,2),HLOOKUP(P$50,СГИ!$Q$1:$AJ$2,2))),"",INDEX(СГИ!$Q$3:$AJ$22,VLOOKUP($O56,СГИ!$O$3:$P$22,2),HLOOKUP(P$50,СГИ!$Q$1:$AJ$2,2)))=1,CONCATENATE("при измерении ",$O56," ",P$50," не допускается ! "),"")</f>
      </c>
      <c r="Q56" s="587">
        <f>IF(IF(ISNA(INDEX(СГИ!$Q$3:$AJ$22,VLOOKUP($O56,СГИ!$O$3:$P$22,2),HLOOKUP(Q$50,СГИ!$Q$1:$AJ$2,2))),"",INDEX(СГИ!$Q$3:$AJ$22,VLOOKUP($O56,СГИ!$O$3:$P$22,2),HLOOKUP(Q$50,СГИ!$Q$1:$AJ$2,2)))=1,CONCATENATE("при измерении ",$O56," ",Q$50," не допускается ! "),"")</f>
      </c>
      <c r="R56" s="587">
        <f>IF(IF(ISNA(INDEX(СГИ!$Q$3:$AJ$22,VLOOKUP($O56,СГИ!$O$3:$P$22,2),HLOOKUP(R$50,СГИ!$Q$1:$AJ$2,2))),"",INDEX(СГИ!$Q$3:$AJ$22,VLOOKUP($O56,СГИ!$O$3:$P$22,2),HLOOKUP(R$50,СГИ!$Q$1:$AJ$2,2)))=1,CONCATENATE("при измерении ",$O56," ",R$50," не допускается ! "),"")</f>
      </c>
      <c r="S56" s="587">
        <f>IF(IF(ISNA(INDEX(СГИ!$Q$3:$AJ$22,VLOOKUP($O56,СГИ!$O$3:$P$22,2),HLOOKUP(S$50,СГИ!$Q$1:$AJ$2,2))),"",INDEX(СГИ!$Q$3:$AJ$22,VLOOKUP($O56,СГИ!$O$3:$P$22,2),HLOOKUP(S$50,СГИ!$Q$1:$AJ$2,2)))=1,CONCATENATE("при измерении ",$O56," ",S$50," не допускается ! "),"")</f>
      </c>
      <c r="T56" s="587">
        <f>IF(IF(ISNA(INDEX(СГИ!$Q$3:$AJ$22,VLOOKUP($O56,СГИ!$O$3:$P$22,2),HLOOKUP(T$50,СГИ!$Q$1:$AJ$2,2))),"",INDEX(СГИ!$Q$3:$AJ$22,VLOOKUP($O56,СГИ!$O$3:$P$22,2),HLOOKUP(T$50,СГИ!$Q$1:$AJ$2,2)))=1,CONCATENATE("при измерении ",$O56," ",T$50," не допускается ! "),"")</f>
      </c>
      <c r="U56" s="587">
        <f>IF(IF(ISNA(INDEX(СГИ!$Q$3:$AJ$22,VLOOKUP($O56,СГИ!$O$3:$P$22,2),HLOOKUP(U$50,СГИ!$Q$1:$AJ$2,2))),"",INDEX(СГИ!$Q$3:$AJ$22,VLOOKUP($O56,СГИ!$O$3:$P$22,2),HLOOKUP(U$50,СГИ!$Q$1:$AJ$2,2)))=1,CONCATENATE("при измерении ",$O56," ",U$50," не допускается ! "),"")</f>
      </c>
      <c r="V56" s="587">
        <f>IF(IF(ISNA(INDEX(СГИ!$Q$3:$AJ$22,VLOOKUP($O56,СГИ!$O$3:$P$22,2),HLOOKUP(V$50,СГИ!$Q$1:$AJ$2,2))),"",INDEX(СГИ!$Q$3:$AJ$22,VLOOKUP($O56,СГИ!$O$3:$P$22,2),HLOOKUP(V$50,СГИ!$Q$1:$AJ$2,2)))=1,CONCATENATE("при измерении ",$O56," ",V$50," не допускается ! "),"")</f>
      </c>
      <c r="W56" s="587">
        <f>IF(IF(ISNA(INDEX(СГИ!$Q$3:$AJ$22,VLOOKUP($O56,СГИ!$O$3:$P$22,2),HLOOKUP(W$50,СГИ!$Q$1:$AJ$2,2))),"",INDEX(СГИ!$Q$3:$AJ$22,VLOOKUP($O56,СГИ!$O$3:$P$22,2),HLOOKUP(W$50,СГИ!$Q$1:$AJ$2,2)))=1,CONCATENATE("при измерении ",$O56," ",W$50," не допускается ! "),"")</f>
      </c>
      <c r="X56" s="587">
        <f>IF(IF(ISNA(INDEX(СГИ!$Q$3:$AJ$22,VLOOKUP($O56,СГИ!$O$3:$P$22,2),HLOOKUP(X$50,СГИ!$Q$1:$AJ$2,2))),"",INDEX(СГИ!$Q$3:$AJ$22,VLOOKUP($O56,СГИ!$O$3:$P$22,2),HLOOKUP(X$50,СГИ!$Q$1:$AJ$2,2)))=1,CONCATENATE("при измерении ",$O56," ",X$50," не допускается ! "),"")</f>
      </c>
      <c r="Y56" s="587">
        <f>IF(IF(ISNA(INDEX(СГИ!$Q$3:$AJ$22,VLOOKUP($O56,СГИ!$O$3:$P$22,2),HLOOKUP(Y$50,СГИ!$Q$1:$AJ$2,2))),"",INDEX(СГИ!$Q$3:$AJ$22,VLOOKUP($O56,СГИ!$O$3:$P$22,2),HLOOKUP(Y$50,СГИ!$Q$1:$AJ$2,2)))=1,CONCATENATE("при измерении ",$O56," ",Y$50," не допускается ! "),"")</f>
      </c>
      <c r="Z56" s="587">
        <f>IF(IF(ISNA(INDEX(СГИ!$Q$3:$AJ$22,VLOOKUP($O56,СГИ!$O$3:$P$22,2),HLOOKUP(Z$50,СГИ!$Q$1:$AJ$2,2))),"",INDEX(СГИ!$Q$3:$AJ$22,VLOOKUP($O56,СГИ!$O$3:$P$22,2),HLOOKUP(Z$50,СГИ!$Q$1:$AJ$2,2)))=1,CONCATENATE("при измерении ",$O56," ",Z$50," не допускается ! "),"")</f>
      </c>
      <c r="AA56" s="587">
        <f>IF(IF(ISNA(INDEX(СГИ!$Q$3:$AJ$22,VLOOKUP($O56,СГИ!$O$3:$P$22,2),HLOOKUP(AA$50,СГИ!$Q$1:$AJ$2,2))),"",INDEX(СГИ!$Q$3:$AJ$22,VLOOKUP($O56,СГИ!$O$3:$P$22,2),HLOOKUP(AA$50,СГИ!$Q$1:$AJ$2,2)))=1,CONCATENATE("при измерении ",$O56," ",AA$50," не допускается ! "),"")</f>
      </c>
      <c r="AB56" s="587">
        <f>IF(IF(ISNA(INDEX(СГИ!$Q$3:$AJ$22,VLOOKUP($O56,СГИ!$O$3:$P$22,2),HLOOKUP(AB$50,СГИ!$Q$1:$AJ$2,2))),"",INDEX(СГИ!$Q$3:$AJ$22,VLOOKUP($O56,СГИ!$O$3:$P$22,2),HLOOKUP(AB$50,СГИ!$Q$1:$AJ$2,2)))=1,CONCATENATE("при измерении ",$O56," ",AB$50," не допускается ! "),"")</f>
      </c>
      <c r="AC56" s="587">
        <f>IF(IF(ISNA(INDEX(СГИ!$Q$3:$AJ$22,VLOOKUP($O56,СГИ!$O$3:$P$22,2),HLOOKUP(AC$50,СГИ!$Q$1:$AJ$2,2))),"",INDEX(СГИ!$Q$3:$AJ$22,VLOOKUP($O56,СГИ!$O$3:$P$22,2),HLOOKUP(AC$50,СГИ!$Q$1:$AJ$2,2)))=1,CONCATENATE("при измерении ",$O56," ",AC$50," не допускается ! "),"")</f>
      </c>
      <c r="AD56" s="587">
        <f>IF(IF(ISNA(INDEX(СГИ!$Q$3:$AJ$22,VLOOKUP($O56,СГИ!$O$3:$P$22,2),HLOOKUP(AD$50,СГИ!$Q$1:$AJ$2,2))),"",INDEX(СГИ!$Q$3:$AJ$22,VLOOKUP($O56,СГИ!$O$3:$P$22,2),HLOOKUP(AD$50,СГИ!$Q$1:$AJ$2,2)))=1,CONCATENATE("при измерении ",$O56," ",AD$50," не допускается ! "),"")</f>
      </c>
      <c r="AE56" s="587">
        <f>IF(IF(ISNA(INDEX(СГИ!$Q$3:$AJ$22,VLOOKUP($O56,СГИ!$O$3:$P$22,2),HLOOKUP(AE$50,СГИ!$Q$1:$AJ$2,2))),"",INDEX(СГИ!$Q$3:$AJ$22,VLOOKUP($O56,СГИ!$O$3:$P$22,2),HLOOKUP(AE$50,СГИ!$Q$1:$AJ$2,2)))=1,CONCATENATE("при измерении ",$O56," ",AE$50," не допускается ! "),"")</f>
      </c>
      <c r="AF56" s="587">
        <f>IF(IF(ISNA(INDEX(СГИ!$Q$3:$AJ$22,VLOOKUP($O56,СГИ!$O$3:$P$22,2),HLOOKUP(AF$50,СГИ!$Q$1:$AJ$2,2))),"",INDEX(СГИ!$Q$3:$AJ$22,VLOOKUP($O56,СГИ!$O$3:$P$22,2),HLOOKUP(AF$50,СГИ!$Q$1:$AJ$2,2)))=1,CONCATENATE("при измерении ",$O56," ",AF$50," не допускается ! "),"")</f>
      </c>
      <c r="AG56" s="615">
        <f>IF(IF(ISNA(INDEX(СГИ!$Q$3:$AJ$22,VLOOKUP($O56,СГИ!$O$3:$P$22,2),HLOOKUP(AG$50,СГИ!$Q$1:$AJ$2,2))),"",INDEX(СГИ!$Q$3:$AJ$22,VLOOKUP($O56,СГИ!$O$3:$P$22,2),HLOOKUP(AG$50,СГИ!$Q$1:$AJ$2,2)))=1,CONCATENATE("при измерении ",$O56," ",AG$50," не допускается ! "),"")</f>
      </c>
      <c r="AH56" s="1">
        <f t="shared" si="1"/>
      </c>
      <c r="AJ56" s="1">
        <v>1</v>
      </c>
      <c r="AK56" s="1" t="s">
        <v>611</v>
      </c>
    </row>
    <row r="57" spans="1:37" ht="33" customHeight="1" thickBot="1">
      <c r="A57" s="827" t="s">
        <v>686</v>
      </c>
      <c r="B57" s="830" t="s">
        <v>650</v>
      </c>
      <c r="C57" s="827" t="s">
        <v>680</v>
      </c>
      <c r="D57" s="840" t="s">
        <v>650</v>
      </c>
      <c r="E57" s="839" t="s">
        <v>689</v>
      </c>
      <c r="F57" s="840" t="s">
        <v>650</v>
      </c>
      <c r="G57" s="827" t="s">
        <v>701</v>
      </c>
      <c r="H57" s="845" t="s">
        <v>650</v>
      </c>
      <c r="I57" s="274" t="s">
        <v>587</v>
      </c>
      <c r="J57" s="763">
        <f>IF('И11-Переносные с вын. БД'!D14&gt;0,ПГ!D14,"")</f>
      </c>
      <c r="K57" s="766" t="s">
        <v>533</v>
      </c>
      <c r="L57" s="749">
        <f>IF(AND('И11-Переносные с вын. БД'!L6=1,'И11-Переносные с вын. БД'!D12=1,'И11-Переносные с вын. БД'!J26=1),0.05*SUM(L51:L56),0)</f>
        <v>0</v>
      </c>
      <c r="M57" s="563">
        <v>0.05</v>
      </c>
      <c r="N57" s="561"/>
      <c r="O57" s="614">
        <f>MID('И11-Переносные с вын. БД'!I13,2,9)</f>
      </c>
      <c r="P57" s="587">
        <f>IF(IF(ISNA(INDEX(СГИ!$Q$3:$AJ$22,VLOOKUP($O57,СГИ!$O$3:$P$22,2),HLOOKUP(P$50,СГИ!$Q$1:$AJ$2,2))),"",INDEX(СГИ!$Q$3:$AJ$22,VLOOKUP($O57,СГИ!$O$3:$P$22,2),HLOOKUP(P$50,СГИ!$Q$1:$AJ$2,2)))=1,CONCATENATE("при измерении ",$O57," ",P$50," не допускается ! "),"")</f>
      </c>
      <c r="Q57" s="587">
        <f>IF(IF(ISNA(INDEX(СГИ!$Q$3:$AJ$22,VLOOKUP($O57,СГИ!$O$3:$P$22,2),HLOOKUP(Q$50,СГИ!$Q$1:$AJ$2,2))),"",INDEX(СГИ!$Q$3:$AJ$22,VLOOKUP($O57,СГИ!$O$3:$P$22,2),HLOOKUP(Q$50,СГИ!$Q$1:$AJ$2,2)))=1,CONCATENATE("при измерении ",$O57," ",Q$50," не допускается ! "),"")</f>
      </c>
      <c r="R57" s="587">
        <f>IF(IF(ISNA(INDEX(СГИ!$Q$3:$AJ$22,VLOOKUP($O57,СГИ!$O$3:$P$22,2),HLOOKUP(R$50,СГИ!$Q$1:$AJ$2,2))),"",INDEX(СГИ!$Q$3:$AJ$22,VLOOKUP($O57,СГИ!$O$3:$P$22,2),HLOOKUP(R$50,СГИ!$Q$1:$AJ$2,2)))=1,CONCATENATE("при измерении ",$O57," ",R$50," не допускается ! "),"")</f>
      </c>
      <c r="S57" s="587">
        <f>IF(IF(ISNA(INDEX(СГИ!$Q$3:$AJ$22,VLOOKUP($O57,СГИ!$O$3:$P$22,2),HLOOKUP(S$50,СГИ!$Q$1:$AJ$2,2))),"",INDEX(СГИ!$Q$3:$AJ$22,VLOOKUP($O57,СГИ!$O$3:$P$22,2),HLOOKUP(S$50,СГИ!$Q$1:$AJ$2,2)))=1,CONCATENATE("при измерении ",$O57," ",S$50," не допускается ! "),"")</f>
      </c>
      <c r="T57" s="587">
        <f>IF(IF(ISNA(INDEX(СГИ!$Q$3:$AJ$22,VLOOKUP($O57,СГИ!$O$3:$P$22,2),HLOOKUP(T$50,СГИ!$Q$1:$AJ$2,2))),"",INDEX(СГИ!$Q$3:$AJ$22,VLOOKUP($O57,СГИ!$O$3:$P$22,2),HLOOKUP(T$50,СГИ!$Q$1:$AJ$2,2)))=1,CONCATENATE("при измерении ",$O57," ",T$50," не допускается ! "),"")</f>
      </c>
      <c r="U57" s="587">
        <f>IF(IF(ISNA(INDEX(СГИ!$Q$3:$AJ$22,VLOOKUP($O57,СГИ!$O$3:$P$22,2),HLOOKUP(U$50,СГИ!$Q$1:$AJ$2,2))),"",INDEX(СГИ!$Q$3:$AJ$22,VLOOKUP($O57,СГИ!$O$3:$P$22,2),HLOOKUP(U$50,СГИ!$Q$1:$AJ$2,2)))=1,CONCATENATE("при измерении ",$O57," ",U$50," не допускается ! "),"")</f>
      </c>
      <c r="V57" s="587">
        <f>IF(IF(ISNA(INDEX(СГИ!$Q$3:$AJ$22,VLOOKUP($O57,СГИ!$O$3:$P$22,2),HLOOKUP(V$50,СГИ!$Q$1:$AJ$2,2))),"",INDEX(СГИ!$Q$3:$AJ$22,VLOOKUP($O57,СГИ!$O$3:$P$22,2),HLOOKUP(V$50,СГИ!$Q$1:$AJ$2,2)))=1,CONCATENATE("при измерении ",$O57," ",V$50," не допускается ! "),"")</f>
      </c>
      <c r="W57" s="587">
        <f>IF(IF(ISNA(INDEX(СГИ!$Q$3:$AJ$22,VLOOKUP($O57,СГИ!$O$3:$P$22,2),HLOOKUP(W$50,СГИ!$Q$1:$AJ$2,2))),"",INDEX(СГИ!$Q$3:$AJ$22,VLOOKUP($O57,СГИ!$O$3:$P$22,2),HLOOKUP(W$50,СГИ!$Q$1:$AJ$2,2)))=1,CONCATENATE("при измерении ",$O57," ",W$50," не допускается ! "),"")</f>
      </c>
      <c r="X57" s="587">
        <f>IF(IF(ISNA(INDEX(СГИ!$Q$3:$AJ$22,VLOOKUP($O57,СГИ!$O$3:$P$22,2),HLOOKUP(X$50,СГИ!$Q$1:$AJ$2,2))),"",INDEX(СГИ!$Q$3:$AJ$22,VLOOKUP($O57,СГИ!$O$3:$P$22,2),HLOOKUP(X$50,СГИ!$Q$1:$AJ$2,2)))=1,CONCATENATE("при измерении ",$O57," ",X$50," не допускается ! "),"")</f>
      </c>
      <c r="Y57" s="587">
        <f>IF(IF(ISNA(INDEX(СГИ!$Q$3:$AJ$22,VLOOKUP($O57,СГИ!$O$3:$P$22,2),HLOOKUP(Y$50,СГИ!$Q$1:$AJ$2,2))),"",INDEX(СГИ!$Q$3:$AJ$22,VLOOKUP($O57,СГИ!$O$3:$P$22,2),HLOOKUP(Y$50,СГИ!$Q$1:$AJ$2,2)))=1,CONCATENATE("при измерении ",$O57," ",Y$50," не допускается ! "),"")</f>
      </c>
      <c r="Z57" s="587">
        <f>IF(IF(ISNA(INDEX(СГИ!$Q$3:$AJ$22,VLOOKUP($O57,СГИ!$O$3:$P$22,2),HLOOKUP(Z$50,СГИ!$Q$1:$AJ$2,2))),"",INDEX(СГИ!$Q$3:$AJ$22,VLOOKUP($O57,СГИ!$O$3:$P$22,2),HLOOKUP(Z$50,СГИ!$Q$1:$AJ$2,2)))=1,CONCATENATE("при измерении ",$O57," ",Z$50," не допускается ! "),"")</f>
      </c>
      <c r="AA57" s="587">
        <f>IF(IF(ISNA(INDEX(СГИ!$Q$3:$AJ$22,VLOOKUP($O57,СГИ!$O$3:$P$22,2),HLOOKUP(AA$50,СГИ!$Q$1:$AJ$2,2))),"",INDEX(СГИ!$Q$3:$AJ$22,VLOOKUP($O57,СГИ!$O$3:$P$22,2),HLOOKUP(AA$50,СГИ!$Q$1:$AJ$2,2)))=1,CONCATENATE("при измерении ",$O57," ",AA$50," не допускается ! "),"")</f>
      </c>
      <c r="AB57" s="587">
        <f>IF(IF(ISNA(INDEX(СГИ!$Q$3:$AJ$22,VLOOKUP($O57,СГИ!$O$3:$P$22,2),HLOOKUP(AB$50,СГИ!$Q$1:$AJ$2,2))),"",INDEX(СГИ!$Q$3:$AJ$22,VLOOKUP($O57,СГИ!$O$3:$P$22,2),HLOOKUP(AB$50,СГИ!$Q$1:$AJ$2,2)))=1,CONCATENATE("при измерении ",$O57," ",AB$50," не допускается ! "),"")</f>
      </c>
      <c r="AC57" s="587">
        <f>IF(IF(ISNA(INDEX(СГИ!$Q$3:$AJ$22,VLOOKUP($O57,СГИ!$O$3:$P$22,2),HLOOKUP(AC$50,СГИ!$Q$1:$AJ$2,2))),"",INDEX(СГИ!$Q$3:$AJ$22,VLOOKUP($O57,СГИ!$O$3:$P$22,2),HLOOKUP(AC$50,СГИ!$Q$1:$AJ$2,2)))=1,CONCATENATE("при измерении ",$O57," ",AC$50," не допускается ! "),"")</f>
      </c>
      <c r="AD57" s="587">
        <f>IF(IF(ISNA(INDEX(СГИ!$Q$3:$AJ$22,VLOOKUP($O57,СГИ!$O$3:$P$22,2),HLOOKUP(AD$50,СГИ!$Q$1:$AJ$2,2))),"",INDEX(СГИ!$Q$3:$AJ$22,VLOOKUP($O57,СГИ!$O$3:$P$22,2),HLOOKUP(AD$50,СГИ!$Q$1:$AJ$2,2)))=1,CONCATENATE("при измерении ",$O57," ",AD$50," не допускается ! "),"")</f>
      </c>
      <c r="AE57" s="587">
        <f>IF(IF(ISNA(INDEX(СГИ!$Q$3:$AJ$22,VLOOKUP($O57,СГИ!$O$3:$P$22,2),HLOOKUP(AE$50,СГИ!$Q$1:$AJ$2,2))),"",INDEX(СГИ!$Q$3:$AJ$22,VLOOKUP($O57,СГИ!$O$3:$P$22,2),HLOOKUP(AE$50,СГИ!$Q$1:$AJ$2,2)))=1,CONCATENATE("при измерении ",$O57," ",AE$50," не допускается ! "),"")</f>
      </c>
      <c r="AF57" s="587">
        <f>IF(IF(ISNA(INDEX(СГИ!$Q$3:$AJ$22,VLOOKUP($O57,СГИ!$O$3:$P$22,2),HLOOKUP(AF$50,СГИ!$Q$1:$AJ$2,2))),"",INDEX(СГИ!$Q$3:$AJ$22,VLOOKUP($O57,СГИ!$O$3:$P$22,2),HLOOKUP(AF$50,СГИ!$Q$1:$AJ$2,2)))=1,CONCATENATE("при измерении ",$O57," ",AF$50," не допускается ! "),"")</f>
      </c>
      <c r="AG57" s="615">
        <f>IF(IF(ISNA(INDEX(СГИ!$Q$3:$AJ$22,VLOOKUP($O57,СГИ!$O$3:$P$22,2),HLOOKUP(AG$50,СГИ!$Q$1:$AJ$2,2))),"",INDEX(СГИ!$Q$3:$AJ$22,VLOOKUP($O57,СГИ!$O$3:$P$22,2),HLOOKUP(AG$50,СГИ!$Q$1:$AJ$2,2)))=1,CONCATENATE("при измерении ",$O57," ",AG$50," не допускается ! "),"")</f>
      </c>
      <c r="AH57" s="1">
        <f t="shared" si="1"/>
      </c>
      <c r="AJ57" s="1">
        <v>0</v>
      </c>
      <c r="AK57" s="1" t="s">
        <v>612</v>
      </c>
    </row>
    <row r="58" spans="1:37" ht="33" customHeight="1" thickBot="1">
      <c r="A58" s="575" t="str">
        <f>IF(C58="",A60,C58)</f>
        <v>Укажите каналы измерения выбранных газов </v>
      </c>
      <c r="B58" s="829" t="str">
        <f>CONCATENATE("- ",ADDRESS(7,8,1,1,"перен. с выносн. БД"))</f>
        <v>- 'перен. с выносн. БД'!$H$7</v>
      </c>
      <c r="C58" s="575">
        <f>IF(C60="",IF(C61="","",C61),C60)</f>
      </c>
      <c r="D58" s="829" t="str">
        <f>CONCATENATE("- ",ADDRESS(7,8,1,1,"перен. с выносн. БД"))</f>
        <v>- 'перен. с выносн. БД'!$H$7</v>
      </c>
      <c r="E58" s="575" t="str">
        <f>IF(G58="",E60,G58)</f>
        <v>(укажите необходимость взрывозащиты, если необходимо)</v>
      </c>
      <c r="F58" s="829" t="str">
        <f>CONCATENATE("- ",ADDRESS(9,8,1,1,"перен. с выносн. БД"))</f>
        <v>- 'перен. с выносн. БД'!$H$9</v>
      </c>
      <c r="G58" s="575">
        <f>IF(G60="",IF(G61="",IF(G62="",IF(G63="",IF(G64="",IF(G65="",IF(G66="","",G66),G65),G64),G63),G62),G61),G60)</f>
      </c>
      <c r="H58" s="846" t="str">
        <f>CONCATENATE("- ",ADDRESS(9,8,1,1,"перен. с выносн. БД"))</f>
        <v>- 'перен. с выносн. БД'!$H$9</v>
      </c>
      <c r="I58" s="576" t="s">
        <v>588</v>
      </c>
      <c r="J58" s="763">
        <f>IF('И11-Переносные с вын. БД'!D15&gt;0,ПГ!D15,"")</f>
      </c>
      <c r="K58" s="766" t="s">
        <v>534</v>
      </c>
      <c r="L58" s="749">
        <f>IF(AND('И11-Переносные с вын. БД'!L6="",OR('И11-Переносные с вын. БД'!J26=1,'И11-Переносные с вын. БД'!J26=2)),0.1*SUM(L51:L56),0)</f>
        <v>0</v>
      </c>
      <c r="M58" s="562">
        <v>0.1</v>
      </c>
      <c r="N58" s="561"/>
      <c r="O58" s="616">
        <f>MID('И11-Переносные с вын. БД'!I14,2,9)</f>
      </c>
      <c r="P58" s="589"/>
      <c r="Q58" s="589"/>
      <c r="R58" s="589"/>
      <c r="S58" s="589"/>
      <c r="T58" s="589"/>
      <c r="U58" s="589"/>
      <c r="V58" s="589"/>
      <c r="W58" s="589"/>
      <c r="X58" s="589"/>
      <c r="Y58" s="589"/>
      <c r="Z58" s="589"/>
      <c r="AA58" s="589"/>
      <c r="AB58" s="589"/>
      <c r="AC58" s="589"/>
      <c r="AD58" s="589"/>
      <c r="AE58" s="589"/>
      <c r="AF58" s="589"/>
      <c r="AG58" s="617"/>
      <c r="AH58" s="1">
        <f t="shared" si="1"/>
      </c>
      <c r="AJ58" s="1">
        <v>1</v>
      </c>
      <c r="AK58" s="1" t="s">
        <v>610</v>
      </c>
    </row>
    <row r="59" spans="1:37" ht="33" customHeight="1" thickBot="1">
      <c r="A59" s="831" t="s">
        <v>644</v>
      </c>
      <c r="B59" s="826" t="s">
        <v>685</v>
      </c>
      <c r="C59" s="831" t="s">
        <v>682</v>
      </c>
      <c r="E59" s="536" t="s">
        <v>725</v>
      </c>
      <c r="G59" s="831" t="s">
        <v>702</v>
      </c>
      <c r="I59" s="576" t="s">
        <v>586</v>
      </c>
      <c r="J59" s="763">
        <f>IF('И11-Переносные с вын. БД'!D16&gt;0,ПГ!D16,"")</f>
      </c>
      <c r="K59" s="766" t="s">
        <v>535</v>
      </c>
      <c r="L59" s="749">
        <f>IF(AND('И11-Переносные с вын. БД'!L6="",'И11-Переносные с вын. БД'!J26=1,SUM('И11-Переносные с вын. БД'!J7+'И11-Переносные с вын. БД'!J8+'И11-Переносные с вын. БД'!J9+'И11-Переносные с вын. БД'!J10+'И11-Переносные с вын. БД'!J11+'И11-Переносные с вын. БД'!J12+'И11-Переносные с вын. БД'!J18)=1),0.15*SUM(L51:L56)-L58,0)</f>
        <v>0</v>
      </c>
      <c r="M59" s="562">
        <v>0.05</v>
      </c>
      <c r="N59" s="561"/>
      <c r="O59" s="614">
        <f>MID('И11-Переносные с вын. БД'!I15,2,9)</f>
      </c>
      <c r="P59" s="587">
        <f>IF(IF(ISNA(INDEX(СГИ!$Q$3:$AJ$22,VLOOKUP($O59,СГИ!$O$3:$P$22,2),HLOOKUP(P$50,СГИ!$Q$1:$AJ$2,2))),"",INDEX(СГИ!$Q$3:$AJ$22,VLOOKUP($O59,СГИ!$O$3:$P$22,2),HLOOKUP(P$50,СГИ!$Q$1:$AJ$2,2)))=1,CONCATENATE("при измерении ",$O59," ",P$50," не допускается ! "),"")</f>
      </c>
      <c r="Q59" s="587">
        <f>IF(IF(ISNA(INDEX(СГИ!$Q$3:$AJ$22,VLOOKUP($O59,СГИ!$O$3:$P$22,2),HLOOKUP(Q$50,СГИ!$Q$1:$AJ$2,2))),"",INDEX(СГИ!$Q$3:$AJ$22,VLOOKUP($O59,СГИ!$O$3:$P$22,2),HLOOKUP(Q$50,СГИ!$Q$1:$AJ$2,2)))=1,CONCATENATE("при измерении ",$O59," ",Q$50," не допускается ! "),"")</f>
      </c>
      <c r="R59" s="587">
        <f>IF(IF(ISNA(INDEX(СГИ!$Q$3:$AJ$22,VLOOKUP($O59,СГИ!$O$3:$P$22,2),HLOOKUP(R$50,СГИ!$Q$1:$AJ$2,2))),"",INDEX(СГИ!$Q$3:$AJ$22,VLOOKUP($O59,СГИ!$O$3:$P$22,2),HLOOKUP(R$50,СГИ!$Q$1:$AJ$2,2)))=1,CONCATENATE("при измерении ",$O59," ",R$50," не допускается ! "),"")</f>
      </c>
      <c r="S59" s="587">
        <f>IF(IF(ISNA(INDEX(СГИ!$Q$3:$AJ$22,VLOOKUP($O59,СГИ!$O$3:$P$22,2),HLOOKUP(S$50,СГИ!$Q$1:$AJ$2,2))),"",INDEX(СГИ!$Q$3:$AJ$22,VLOOKUP($O59,СГИ!$O$3:$P$22,2),HLOOKUP(S$50,СГИ!$Q$1:$AJ$2,2)))=1,CONCATENATE("при измерении ",$O59," ",S$50," не допускается ! "),"")</f>
      </c>
      <c r="T59" s="587">
        <f>IF(IF(ISNA(INDEX(СГИ!$Q$3:$AJ$22,VLOOKUP($O59,СГИ!$O$3:$P$22,2),HLOOKUP(T$50,СГИ!$Q$1:$AJ$2,2))),"",INDEX(СГИ!$Q$3:$AJ$22,VLOOKUP($O59,СГИ!$O$3:$P$22,2),HLOOKUP(T$50,СГИ!$Q$1:$AJ$2,2)))=1,CONCATENATE("при измерении ",$O59," ",T$50," не допускается ! "),"")</f>
      </c>
      <c r="U59" s="587">
        <f>IF(IF(ISNA(INDEX(СГИ!$Q$3:$AJ$22,VLOOKUP($O59,СГИ!$O$3:$P$22,2),HLOOKUP(U$50,СГИ!$Q$1:$AJ$2,2))),"",INDEX(СГИ!$Q$3:$AJ$22,VLOOKUP($O59,СГИ!$O$3:$P$22,2),HLOOKUP(U$50,СГИ!$Q$1:$AJ$2,2)))=1,CONCATENATE("при измерении ",$O59," ",U$50," не допускается ! "),"")</f>
      </c>
      <c r="V59" s="587">
        <f>IF(IF(ISNA(INDEX(СГИ!$Q$3:$AJ$22,VLOOKUP($O59,СГИ!$O$3:$P$22,2),HLOOKUP(V$50,СГИ!$Q$1:$AJ$2,2))),"",INDEX(СГИ!$Q$3:$AJ$22,VLOOKUP($O59,СГИ!$O$3:$P$22,2),HLOOKUP(V$50,СГИ!$Q$1:$AJ$2,2)))=1,CONCATENATE("при измерении ",$O59," ",V$50," не допускается ! "),"")</f>
      </c>
      <c r="W59" s="587">
        <f>IF(IF(ISNA(INDEX(СГИ!$Q$3:$AJ$22,VLOOKUP($O59,СГИ!$O$3:$P$22,2),HLOOKUP(W$50,СГИ!$Q$1:$AJ$2,2))),"",INDEX(СГИ!$Q$3:$AJ$22,VLOOKUP($O59,СГИ!$O$3:$P$22,2),HLOOKUP(W$50,СГИ!$Q$1:$AJ$2,2)))=1,CONCATENATE("при измерении ",$O59," ",W$50," не допускается ! "),"")</f>
      </c>
      <c r="X59" s="587">
        <f>IF(IF(ISNA(INDEX(СГИ!$Q$3:$AJ$22,VLOOKUP($O59,СГИ!$O$3:$P$22,2),HLOOKUP(X$50,СГИ!$Q$1:$AJ$2,2))),"",INDEX(СГИ!$Q$3:$AJ$22,VLOOKUP($O59,СГИ!$O$3:$P$22,2),HLOOKUP(X$50,СГИ!$Q$1:$AJ$2,2)))=1,CONCATENATE("при измерении ",$O59," ",X$50," не допускается ! "),"")</f>
      </c>
      <c r="Y59" s="587">
        <f>IF(IF(ISNA(INDEX(СГИ!$Q$3:$AJ$22,VLOOKUP($O59,СГИ!$O$3:$P$22,2),HLOOKUP(Y$50,СГИ!$Q$1:$AJ$2,2))),"",INDEX(СГИ!$Q$3:$AJ$22,VLOOKUP($O59,СГИ!$O$3:$P$22,2),HLOOKUP(Y$50,СГИ!$Q$1:$AJ$2,2)))=1,CONCATENATE("при измерении ",$O59," ",Y$50," не допускается ! "),"")</f>
      </c>
      <c r="Z59" s="587">
        <f>IF(IF(ISNA(INDEX(СГИ!$Q$3:$AJ$22,VLOOKUP($O59,СГИ!$O$3:$P$22,2),HLOOKUP(Z$50,СГИ!$Q$1:$AJ$2,2))),"",INDEX(СГИ!$Q$3:$AJ$22,VLOOKUP($O59,СГИ!$O$3:$P$22,2),HLOOKUP(Z$50,СГИ!$Q$1:$AJ$2,2)))=1,CONCATENATE("при измерении ",$O59," ",Z$50," не допускается ! "),"")</f>
      </c>
      <c r="AA59" s="587">
        <f>IF(IF(ISNA(INDEX(СГИ!$Q$3:$AJ$22,VLOOKUP($O59,СГИ!$O$3:$P$22,2),HLOOKUP(AA$50,СГИ!$Q$1:$AJ$2,2))),"",INDEX(СГИ!$Q$3:$AJ$22,VLOOKUP($O59,СГИ!$O$3:$P$22,2),HLOOKUP(AA$50,СГИ!$Q$1:$AJ$2,2)))=1,CONCATENATE("при измерении ",$O59," ",AA$50," не допускается ! "),"")</f>
      </c>
      <c r="AB59" s="587">
        <f>IF(IF(ISNA(INDEX(СГИ!$Q$3:$AJ$22,VLOOKUP($O59,СГИ!$O$3:$P$22,2),HLOOKUP(AB$50,СГИ!$Q$1:$AJ$2,2))),"",INDEX(СГИ!$Q$3:$AJ$22,VLOOKUP($O59,СГИ!$O$3:$P$22,2),HLOOKUP(AB$50,СГИ!$Q$1:$AJ$2,2)))=1,CONCATENATE("при измерении ",$O59," ",AB$50," не допускается ! "),"")</f>
      </c>
      <c r="AC59" s="587">
        <f>IF(IF(ISNA(INDEX(СГИ!$Q$3:$AJ$22,VLOOKUP($O59,СГИ!$O$3:$P$22,2),HLOOKUP(AC$50,СГИ!$Q$1:$AJ$2,2))),"",INDEX(СГИ!$Q$3:$AJ$22,VLOOKUP($O59,СГИ!$O$3:$P$22,2),HLOOKUP(AC$50,СГИ!$Q$1:$AJ$2,2)))=1,CONCATENATE("при измерении ",$O59," ",AC$50," не допускается ! "),"")</f>
      </c>
      <c r="AD59" s="587">
        <f>IF(IF(ISNA(INDEX(СГИ!$Q$3:$AJ$22,VLOOKUP($O59,СГИ!$O$3:$P$22,2),HLOOKUP(AD$50,СГИ!$Q$1:$AJ$2,2))),"",INDEX(СГИ!$Q$3:$AJ$22,VLOOKUP($O59,СГИ!$O$3:$P$22,2),HLOOKUP(AD$50,СГИ!$Q$1:$AJ$2,2)))=1,CONCATENATE("при измерении ",$O59," ",AD$50," не допускается ! "),"")</f>
      </c>
      <c r="AE59" s="587">
        <f>IF(IF(ISNA(INDEX(СГИ!$Q$3:$AJ$22,VLOOKUP($O59,СГИ!$O$3:$P$22,2),HLOOKUP(AE$50,СГИ!$Q$1:$AJ$2,2))),"",INDEX(СГИ!$Q$3:$AJ$22,VLOOKUP($O59,СГИ!$O$3:$P$22,2),HLOOKUP(AE$50,СГИ!$Q$1:$AJ$2,2)))=1,CONCATENATE("при измерении ",$O59," ",AE$50," не допускается ! "),"")</f>
      </c>
      <c r="AF59" s="587">
        <f>IF(IF(ISNA(INDEX(СГИ!$Q$3:$AJ$22,VLOOKUP($O59,СГИ!$O$3:$P$22,2),HLOOKUP(AF$50,СГИ!$Q$1:$AJ$2,2))),"",INDEX(СГИ!$Q$3:$AJ$22,VLOOKUP($O59,СГИ!$O$3:$P$22,2),HLOOKUP(AF$50,СГИ!$Q$1:$AJ$2,2)))=1,CONCATENATE("при измерении ",$O59," ",AF$50," не допускается ! "),"")</f>
      </c>
      <c r="AG59" s="615">
        <f>IF(IF(ISNA(INDEX(СГИ!$Q$3:$AJ$22,VLOOKUP($O59,СГИ!$O$3:$P$22,2),HLOOKUP(AG$50,СГИ!$Q$1:$AJ$2,2))),"",INDEX(СГИ!$Q$3:$AJ$22,VLOOKUP($O59,СГИ!$O$3:$P$22,2),HLOOKUP(AG$50,СГИ!$Q$1:$AJ$2,2)))=1,CONCATENATE("при измерении ",$O59," ",AG$50," не допускается ! "),"")</f>
      </c>
      <c r="AH59" s="1">
        <f t="shared" si="1"/>
      </c>
      <c r="AJ59" s="1">
        <v>0</v>
      </c>
      <c r="AK59" s="1" t="s">
        <v>609</v>
      </c>
    </row>
    <row r="60" spans="1:37" ht="33" customHeight="1" thickBot="1">
      <c r="A60" s="575" t="str">
        <f>CONCATENATE(A61,IF(A63="",A62,A63))</f>
        <v>Укажите каналы измерения выбранных газов </v>
      </c>
      <c r="B60" s="826" t="s">
        <v>645</v>
      </c>
      <c r="C60" s="575">
        <f>IF('И11-Переносные с вын. БД'!J26&gt;5,$I$51,"")</f>
      </c>
      <c r="D60" s="826" t="s">
        <v>579</v>
      </c>
      <c r="E60" s="575" t="str">
        <f>IF('И11-Переносные с вын. БД'!L6=1,"",I$58)</f>
        <v>(укажите необходимость взрывозащиты, если необходимо)</v>
      </c>
      <c r="G60" s="575">
        <f>IF(OR('И11-Переносные с вын. БД'!L6="",'И11-Переносные с вын. БД'!L6=1),"",I59)</f>
      </c>
      <c r="H60" s="847" t="s">
        <v>693</v>
      </c>
      <c r="I60" s="576" t="s">
        <v>729</v>
      </c>
      <c r="J60" s="763">
        <f>IF('И11-Переносные с вын. БД'!D17&gt;0,ПГ!D17,"")</f>
      </c>
      <c r="K60" s="766" t="s">
        <v>757</v>
      </c>
      <c r="L60" s="749">
        <f>IF('И11-Переносные с вын. БД'!L7&gt;6,('И11-Переносные с вын. БД'!L7-6)*ПГ!C31,0)</f>
        <v>0</v>
      </c>
      <c r="M60" s="557"/>
      <c r="N60" s="561"/>
      <c r="O60" s="614">
        <f>MID('И11-Переносные с вын. БД'!I16,2,9)</f>
      </c>
      <c r="P60" s="587">
        <f>IF(IF(ISNA(INDEX(СГИ!$Q$3:$AJ$22,VLOOKUP($O60,СГИ!$O$3:$P$22,2),HLOOKUP(P$50,СГИ!$Q$1:$AJ$2,2))),"",INDEX(СГИ!$Q$3:$AJ$22,VLOOKUP($O60,СГИ!$O$3:$P$22,2),HLOOKUP(P$50,СГИ!$Q$1:$AJ$2,2)))=1,CONCATENATE("при измерении ",$O60," ",P$50," не допускается ! "),"")</f>
      </c>
      <c r="Q60" s="587">
        <f>IF(IF(ISNA(INDEX(СГИ!$Q$3:$AJ$22,VLOOKUP($O60,СГИ!$O$3:$P$22,2),HLOOKUP(Q$50,СГИ!$Q$1:$AJ$2,2))),"",INDEX(СГИ!$Q$3:$AJ$22,VLOOKUP($O60,СГИ!$O$3:$P$22,2),HLOOKUP(Q$50,СГИ!$Q$1:$AJ$2,2)))=1,CONCATENATE("при измерении ",$O60," ",Q$50," не допускается ! "),"")</f>
      </c>
      <c r="R60" s="587">
        <f>IF(IF(ISNA(INDEX(СГИ!$Q$3:$AJ$22,VLOOKUP($O60,СГИ!$O$3:$P$22,2),HLOOKUP(R$50,СГИ!$Q$1:$AJ$2,2))),"",INDEX(СГИ!$Q$3:$AJ$22,VLOOKUP($O60,СГИ!$O$3:$P$22,2),HLOOKUP(R$50,СГИ!$Q$1:$AJ$2,2)))=1,CONCATENATE("при измерении ",$O60," ",R$50," не допускается ! "),"")</f>
      </c>
      <c r="S60" s="587">
        <f>IF(IF(ISNA(INDEX(СГИ!$Q$3:$AJ$22,VLOOKUP($O60,СГИ!$O$3:$P$22,2),HLOOKUP(S$50,СГИ!$Q$1:$AJ$2,2))),"",INDEX(СГИ!$Q$3:$AJ$22,VLOOKUP($O60,СГИ!$O$3:$P$22,2),HLOOKUP(S$50,СГИ!$Q$1:$AJ$2,2)))=1,CONCATENATE("при измерении ",$O60," ",S$50," не допускается ! "),"")</f>
      </c>
      <c r="T60" s="587">
        <f>IF(IF(ISNA(INDEX(СГИ!$Q$3:$AJ$22,VLOOKUP($O60,СГИ!$O$3:$P$22,2),HLOOKUP(T$50,СГИ!$Q$1:$AJ$2,2))),"",INDEX(СГИ!$Q$3:$AJ$22,VLOOKUP($O60,СГИ!$O$3:$P$22,2),HLOOKUP(T$50,СГИ!$Q$1:$AJ$2,2)))=1,CONCATENATE("при измерении ",$O60," ",T$50," не допускается ! "),"")</f>
      </c>
      <c r="U60" s="587">
        <f>IF(IF(ISNA(INDEX(СГИ!$Q$3:$AJ$22,VLOOKUP($O60,СГИ!$O$3:$P$22,2),HLOOKUP(U$50,СГИ!$Q$1:$AJ$2,2))),"",INDEX(СГИ!$Q$3:$AJ$22,VLOOKUP($O60,СГИ!$O$3:$P$22,2),HLOOKUP(U$50,СГИ!$Q$1:$AJ$2,2)))=1,CONCATENATE("при измерении ",$O60," ",U$50," не допускается ! "),"")</f>
      </c>
      <c r="V60" s="587">
        <f>IF(IF(ISNA(INDEX(СГИ!$Q$3:$AJ$22,VLOOKUP($O60,СГИ!$O$3:$P$22,2),HLOOKUP(V$50,СГИ!$Q$1:$AJ$2,2))),"",INDEX(СГИ!$Q$3:$AJ$22,VLOOKUP($O60,СГИ!$O$3:$P$22,2),HLOOKUP(V$50,СГИ!$Q$1:$AJ$2,2)))=1,CONCATENATE("при измерении ",$O60," ",V$50," не допускается ! "),"")</f>
      </c>
      <c r="W60" s="587">
        <f>IF(IF(ISNA(INDEX(СГИ!$Q$3:$AJ$22,VLOOKUP($O60,СГИ!$O$3:$P$22,2),HLOOKUP(W$50,СГИ!$Q$1:$AJ$2,2))),"",INDEX(СГИ!$Q$3:$AJ$22,VLOOKUP($O60,СГИ!$O$3:$P$22,2),HLOOKUP(W$50,СГИ!$Q$1:$AJ$2,2)))=1,CONCATENATE("при измерении ",$O60," ",W$50," не допускается ! "),"")</f>
      </c>
      <c r="X60" s="587">
        <f>IF(IF(ISNA(INDEX(СГИ!$Q$3:$AJ$22,VLOOKUP($O60,СГИ!$O$3:$P$22,2),HLOOKUP(X$50,СГИ!$Q$1:$AJ$2,2))),"",INDEX(СГИ!$Q$3:$AJ$22,VLOOKUP($O60,СГИ!$O$3:$P$22,2),HLOOKUP(X$50,СГИ!$Q$1:$AJ$2,2)))=1,CONCATENATE("при измерении ",$O60," ",X$50," не допускается ! "),"")</f>
      </c>
      <c r="Y60" s="587">
        <f>IF(IF(ISNA(INDEX(СГИ!$Q$3:$AJ$22,VLOOKUP($O60,СГИ!$O$3:$P$22,2),HLOOKUP(Y$50,СГИ!$Q$1:$AJ$2,2))),"",INDEX(СГИ!$Q$3:$AJ$22,VLOOKUP($O60,СГИ!$O$3:$P$22,2),HLOOKUP(Y$50,СГИ!$Q$1:$AJ$2,2)))=1,CONCATENATE("при измерении ",$O60," ",Y$50," не допускается ! "),"")</f>
      </c>
      <c r="Z60" s="587">
        <f>IF(IF(ISNA(INDEX(СГИ!$Q$3:$AJ$22,VLOOKUP($O60,СГИ!$O$3:$P$22,2),HLOOKUP(Z$50,СГИ!$Q$1:$AJ$2,2))),"",INDEX(СГИ!$Q$3:$AJ$22,VLOOKUP($O60,СГИ!$O$3:$P$22,2),HLOOKUP(Z$50,СГИ!$Q$1:$AJ$2,2)))=1,CONCATENATE("при измерении ",$O60," ",Z$50," не допускается ! "),"")</f>
      </c>
      <c r="AA60" s="587">
        <f>IF(IF(ISNA(INDEX(СГИ!$Q$3:$AJ$22,VLOOKUP($O60,СГИ!$O$3:$P$22,2),HLOOKUP(AA$50,СГИ!$Q$1:$AJ$2,2))),"",INDEX(СГИ!$Q$3:$AJ$22,VLOOKUP($O60,СГИ!$O$3:$P$22,2),HLOOKUP(AA$50,СГИ!$Q$1:$AJ$2,2)))=1,CONCATENATE("при измерении ",$O60," ",AA$50," не допускается ! "),"")</f>
      </c>
      <c r="AB60" s="587">
        <f>IF(IF(ISNA(INDEX(СГИ!$Q$3:$AJ$22,VLOOKUP($O60,СГИ!$O$3:$P$22,2),HLOOKUP(AB$50,СГИ!$Q$1:$AJ$2,2))),"",INDEX(СГИ!$Q$3:$AJ$22,VLOOKUP($O60,СГИ!$O$3:$P$22,2),HLOOKUP(AB$50,СГИ!$Q$1:$AJ$2,2)))=1,CONCATENATE("при измерении ",$O60," ",AB$50," не допускается ! "),"")</f>
      </c>
      <c r="AC60" s="587">
        <f>IF(IF(ISNA(INDEX(СГИ!$Q$3:$AJ$22,VLOOKUP($O60,СГИ!$O$3:$P$22,2),HLOOKUP(AC$50,СГИ!$Q$1:$AJ$2,2))),"",INDEX(СГИ!$Q$3:$AJ$22,VLOOKUP($O60,СГИ!$O$3:$P$22,2),HLOOKUP(AC$50,СГИ!$Q$1:$AJ$2,2)))=1,CONCATENATE("при измерении ",$O60," ",AC$50," не допускается ! "),"")</f>
      </c>
      <c r="AD60" s="587">
        <f>IF(IF(ISNA(INDEX(СГИ!$Q$3:$AJ$22,VLOOKUP($O60,СГИ!$O$3:$P$22,2),HLOOKUP(AD$50,СГИ!$Q$1:$AJ$2,2))),"",INDEX(СГИ!$Q$3:$AJ$22,VLOOKUP($O60,СГИ!$O$3:$P$22,2),HLOOKUP(AD$50,СГИ!$Q$1:$AJ$2,2)))=1,CONCATENATE("при измерении ",$O60," ",AD$50," не допускается ! "),"")</f>
      </c>
      <c r="AE60" s="587">
        <f>IF(IF(ISNA(INDEX(СГИ!$Q$3:$AJ$22,VLOOKUP($O60,СГИ!$O$3:$P$22,2),HLOOKUP(AE$50,СГИ!$Q$1:$AJ$2,2))),"",INDEX(СГИ!$Q$3:$AJ$22,VLOOKUP($O60,СГИ!$O$3:$P$22,2),HLOOKUP(AE$50,СГИ!$Q$1:$AJ$2,2)))=1,CONCATENATE("при измерении ",$O60," ",AE$50," не допускается ! "),"")</f>
      </c>
      <c r="AF60" s="587">
        <f>IF(IF(ISNA(INDEX(СГИ!$Q$3:$AJ$22,VLOOKUP($O60,СГИ!$O$3:$P$22,2),HLOOKUP(AF$50,СГИ!$Q$1:$AJ$2,2))),"",INDEX(СГИ!$Q$3:$AJ$22,VLOOKUP($O60,СГИ!$O$3:$P$22,2),HLOOKUP(AF$50,СГИ!$Q$1:$AJ$2,2)))=1,CONCATENATE("при измерении ",$O60," ",AF$50," не допускается ! "),"")</f>
      </c>
      <c r="AG60" s="615">
        <f>IF(IF(ISNA(INDEX(СГИ!$Q$3:$AJ$22,VLOOKUP($O60,СГИ!$O$3:$P$22,2),HLOOKUP(AG$50,СГИ!$Q$1:$AJ$2,2))),"",INDEX(СГИ!$Q$3:$AJ$22,VLOOKUP($O60,СГИ!$O$3:$P$22,2),HLOOKUP(AG$50,СГИ!$Q$1:$AJ$2,2)))=1,CONCATENATE("при измерении ",$O60," ",AG$50," не допускается ! "),"")</f>
      </c>
      <c r="AH60" s="1">
        <f t="shared" si="1"/>
      </c>
      <c r="AJ60" s="1">
        <v>0</v>
      </c>
      <c r="AK60" s="1" t="s">
        <v>632</v>
      </c>
    </row>
    <row r="61" spans="1:37" ht="33" customHeight="1" thickBot="1">
      <c r="A61" s="575">
        <f>IF('И11-Переносные с вын. БД'!J9+SUM('И11-Переносные с вын. БД'!J10:J11)&gt;MAX('И11-Переносные с вын. БД'!J9,'И11-Переносные с вын. БД'!J10:J11),$I$50,"")</f>
      </c>
      <c r="B61" s="826" t="s">
        <v>646</v>
      </c>
      <c r="C61" s="575">
        <f>IF(AND('И11-Переносные с вын. БД'!H2=I46,OR('И11-Переносные с вын. БД'!D20=1,'И11-Переносные с вын. БД'!D21=1)),I54,"")</f>
      </c>
      <c r="D61" s="826" t="s">
        <v>642</v>
      </c>
      <c r="G61" s="575">
        <f>IF('И11-Переносные с вын. БД'!D$8=1,$I$60,"")</f>
      </c>
      <c r="H61" s="847" t="s">
        <v>694</v>
      </c>
      <c r="I61" s="576" t="s">
        <v>589</v>
      </c>
      <c r="J61" s="763">
        <f>IF('И11-Переносные с вын. БД'!D18&gt;0,ПГ!D18,"")</f>
      </c>
      <c r="K61" s="766"/>
      <c r="L61" s="749"/>
      <c r="M61" s="557"/>
      <c r="N61" s="561"/>
      <c r="O61" s="614">
        <f>MID('И11-Переносные с вын. БД'!I17,2,9)</f>
      </c>
      <c r="P61" s="587">
        <f>IF(IF(ISNA(INDEX(СГИ!$Q$3:$AJ$22,VLOOKUP($O61,СГИ!$O$3:$P$22,2),HLOOKUP(P$50,СГИ!$Q$1:$AJ$2,2))),"",INDEX(СГИ!$Q$3:$AJ$22,VLOOKUP($O61,СГИ!$O$3:$P$22,2),HLOOKUP(P$50,СГИ!$Q$1:$AJ$2,2)))=1,CONCATENATE("при измерении ",$O61," ",P$50," не допускается ! "),"")</f>
      </c>
      <c r="Q61" s="587">
        <f>IF(IF(ISNA(INDEX(СГИ!$Q$3:$AJ$22,VLOOKUP($O61,СГИ!$O$3:$P$22,2),HLOOKUP(Q$50,СГИ!$Q$1:$AJ$2,2))),"",INDEX(СГИ!$Q$3:$AJ$22,VLOOKUP($O61,СГИ!$O$3:$P$22,2),HLOOKUP(Q$50,СГИ!$Q$1:$AJ$2,2)))=1,CONCATENATE("при измерении ",$O61," ",Q$50," не допускается ! "),"")</f>
      </c>
      <c r="R61" s="587">
        <f>IF(IF(ISNA(INDEX(СГИ!$Q$3:$AJ$22,VLOOKUP($O61,СГИ!$O$3:$P$22,2),HLOOKUP(R$50,СГИ!$Q$1:$AJ$2,2))),"",INDEX(СГИ!$Q$3:$AJ$22,VLOOKUP($O61,СГИ!$O$3:$P$22,2),HLOOKUP(R$50,СГИ!$Q$1:$AJ$2,2)))=1,CONCATENATE("при измерении ",$O61," ",R$50," не допускается ! "),"")</f>
      </c>
      <c r="S61" s="587">
        <f>IF(IF(ISNA(INDEX(СГИ!$Q$3:$AJ$22,VLOOKUP($O61,СГИ!$O$3:$P$22,2),HLOOKUP(S$50,СГИ!$Q$1:$AJ$2,2))),"",INDEX(СГИ!$Q$3:$AJ$22,VLOOKUP($O61,СГИ!$O$3:$P$22,2),HLOOKUP(S$50,СГИ!$Q$1:$AJ$2,2)))=1,CONCATENATE("при измерении ",$O61," ",S$50," не допускается ! "),"")</f>
      </c>
      <c r="T61" s="587">
        <f>IF(IF(ISNA(INDEX(СГИ!$Q$3:$AJ$22,VLOOKUP($O61,СГИ!$O$3:$P$22,2),HLOOKUP(T$50,СГИ!$Q$1:$AJ$2,2))),"",INDEX(СГИ!$Q$3:$AJ$22,VLOOKUP($O61,СГИ!$O$3:$P$22,2),HLOOKUP(T$50,СГИ!$Q$1:$AJ$2,2)))=1,CONCATENATE("при измерении ",$O61," ",T$50," не допускается ! "),"")</f>
      </c>
      <c r="U61" s="587">
        <f>IF(IF(ISNA(INDEX(СГИ!$Q$3:$AJ$22,VLOOKUP($O61,СГИ!$O$3:$P$22,2),HLOOKUP(U$50,СГИ!$Q$1:$AJ$2,2))),"",INDEX(СГИ!$Q$3:$AJ$22,VLOOKUP($O61,СГИ!$O$3:$P$22,2),HLOOKUP(U$50,СГИ!$Q$1:$AJ$2,2)))=1,CONCATENATE("при измерении ",$O61," ",U$50," не допускается ! "),"")</f>
      </c>
      <c r="V61" s="587">
        <f>IF(IF(ISNA(INDEX(СГИ!$Q$3:$AJ$22,VLOOKUP($O61,СГИ!$O$3:$P$22,2),HLOOKUP(V$50,СГИ!$Q$1:$AJ$2,2))),"",INDEX(СГИ!$Q$3:$AJ$22,VLOOKUP($O61,СГИ!$O$3:$P$22,2),HLOOKUP(V$50,СГИ!$Q$1:$AJ$2,2)))=1,CONCATENATE("при измерении ",$O61," ",V$50," не допускается ! "),"")</f>
      </c>
      <c r="W61" s="587">
        <f>IF(IF(ISNA(INDEX(СГИ!$Q$3:$AJ$22,VLOOKUP($O61,СГИ!$O$3:$P$22,2),HLOOKUP(W$50,СГИ!$Q$1:$AJ$2,2))),"",INDEX(СГИ!$Q$3:$AJ$22,VLOOKUP($O61,СГИ!$O$3:$P$22,2),HLOOKUP(W$50,СГИ!$Q$1:$AJ$2,2)))=1,CONCATENATE("при измерении ",$O61," ",W$50," не допускается ! "),"")</f>
      </c>
      <c r="X61" s="587"/>
      <c r="Y61" s="587">
        <f>IF(IF(ISNA(INDEX(СГИ!$Q$3:$AJ$22,VLOOKUP($O61,СГИ!$O$3:$P$22,2),HLOOKUP(Y$50,СГИ!$Q$1:$AJ$2,2))),"",INDEX(СГИ!$Q$3:$AJ$22,VLOOKUP($O61,СГИ!$O$3:$P$22,2),HLOOKUP(Y$50,СГИ!$Q$1:$AJ$2,2)))=1,CONCATENATE("при измерении ",$O61," ",Y$50," не допускается ! "),"")</f>
      </c>
      <c r="Z61" s="587">
        <f>IF(IF(ISNA(INDEX(СГИ!$Q$3:$AJ$22,VLOOKUP($O61,СГИ!$O$3:$P$22,2),HLOOKUP(Z$50,СГИ!$Q$1:$AJ$2,2))),"",INDEX(СГИ!$Q$3:$AJ$22,VLOOKUP($O61,СГИ!$O$3:$P$22,2),HLOOKUP(Z$50,СГИ!$Q$1:$AJ$2,2)))=1,CONCATENATE("при измерении ",$O61," ",Z$50," не допускается ! "),"")</f>
      </c>
      <c r="AA61" s="587">
        <f>IF(IF(ISNA(INDEX(СГИ!$Q$3:$AJ$22,VLOOKUP($O61,СГИ!$O$3:$P$22,2),HLOOKUP(AA$50,СГИ!$Q$1:$AJ$2,2))),"",INDEX(СГИ!$Q$3:$AJ$22,VLOOKUP($O61,СГИ!$O$3:$P$22,2),HLOOKUP(AA$50,СГИ!$Q$1:$AJ$2,2)))=1,CONCATENATE("при измерении ",$O61," ",AA$50," не допускается ! "),"")</f>
      </c>
      <c r="AB61" s="587">
        <f>IF(IF(ISNA(INDEX(СГИ!$Q$3:$AJ$22,VLOOKUP($O61,СГИ!$O$3:$P$22,2),HLOOKUP(AB$50,СГИ!$Q$1:$AJ$2,2))),"",INDEX(СГИ!$Q$3:$AJ$22,VLOOKUP($O61,СГИ!$O$3:$P$22,2),HLOOKUP(AB$50,СГИ!$Q$1:$AJ$2,2)))=1,CONCATENATE("при измерении ",$O61," ",AB$50," не допускается ! "),"")</f>
      </c>
      <c r="AC61" s="587">
        <f>IF(IF(ISNA(INDEX(СГИ!$Q$3:$AJ$22,VLOOKUP($O61,СГИ!$O$3:$P$22,2),HLOOKUP(AC$50,СГИ!$Q$1:$AJ$2,2))),"",INDEX(СГИ!$Q$3:$AJ$22,VLOOKUP($O61,СГИ!$O$3:$P$22,2),HLOOKUP(AC$50,СГИ!$Q$1:$AJ$2,2)))=1,CONCATENATE("при измерении ",$O61," ",AC$50," не допускается ! "),"")</f>
      </c>
      <c r="AD61" s="587">
        <f>IF(IF(ISNA(INDEX(СГИ!$Q$3:$AJ$22,VLOOKUP($O61,СГИ!$O$3:$P$22,2),HLOOKUP(AD$50,СГИ!$Q$1:$AJ$2,2))),"",INDEX(СГИ!$Q$3:$AJ$22,VLOOKUP($O61,СГИ!$O$3:$P$22,2),HLOOKUP(AD$50,СГИ!$Q$1:$AJ$2,2)))=1,CONCATENATE("при измерении ",$O61," ",AD$50," не допускается ! "),"")</f>
      </c>
      <c r="AE61" s="587">
        <f>IF(IF(ISNA(INDEX(СГИ!$Q$3:$AJ$22,VLOOKUP($O61,СГИ!$O$3:$P$22,2),HLOOKUP(AE$50,СГИ!$Q$1:$AJ$2,2))),"",INDEX(СГИ!$Q$3:$AJ$22,VLOOKUP($O61,СГИ!$O$3:$P$22,2),HLOOKUP(AE$50,СГИ!$Q$1:$AJ$2,2)))=1,CONCATENATE("при измерении ",$O61," ",AE$50," не допускается ! "),"")</f>
      </c>
      <c r="AF61" s="587">
        <f>IF(IF(ISNA(INDEX(СГИ!$Q$3:$AJ$22,VLOOKUP($O61,СГИ!$O$3:$P$22,2),HLOOKUP(AF$50,СГИ!$Q$1:$AJ$2,2))),"",INDEX(СГИ!$Q$3:$AJ$22,VLOOKUP($O61,СГИ!$O$3:$P$22,2),HLOOKUP(AF$50,СГИ!$Q$1:$AJ$2,2)))=1,CONCATENATE("при измерении ",$O61," ",AF$50," не допускается ! "),"")</f>
      </c>
      <c r="AG61" s="615">
        <f>IF(IF(ISNA(INDEX(СГИ!$Q$3:$AJ$22,VLOOKUP($O61,СГИ!$O$3:$P$22,2),HLOOKUP(AG$50,СГИ!$Q$1:$AJ$2,2))),"",INDEX(СГИ!$Q$3:$AJ$22,VLOOKUP($O61,СГИ!$O$3:$P$22,2),HLOOKUP(AG$50,СГИ!$Q$1:$AJ$2,2)))=1,CONCATENATE("при измерении ",$O61," ",AG$50," не допускается ! "),"")</f>
      </c>
      <c r="AH61" s="1">
        <f t="shared" si="1"/>
      </c>
      <c r="AJ61" s="807" t="s">
        <v>638</v>
      </c>
      <c r="AK61" s="1" t="s">
        <v>633</v>
      </c>
    </row>
    <row r="62" spans="1:36" ht="33" customHeight="1" thickBot="1">
      <c r="A62" s="575" t="str">
        <f>IF('И11-Переносные с вын. БД'!J26=0,$I$49,AH50)</f>
        <v>Укажите каналы измерения выбранных газов </v>
      </c>
      <c r="B62" s="512" t="s">
        <v>649</v>
      </c>
      <c r="G62" s="575">
        <f>IF('И11-Переносные с вын. БД'!L6=1,IF(SUM('И11-Переносные с вын. БД'!D9:D11)&lt;2,"",I62),"")</f>
      </c>
      <c r="H62" s="847" t="s">
        <v>709</v>
      </c>
      <c r="I62" s="576" t="s">
        <v>639</v>
      </c>
      <c r="J62" s="763">
        <f>IF('И11-Переносные с вын. БД'!D19&gt;0,ПГ!D19,"")</f>
      </c>
      <c r="K62" s="766"/>
      <c r="L62" s="749"/>
      <c r="M62" s="557"/>
      <c r="N62" s="561"/>
      <c r="O62" s="614">
        <f>MID('И11-Переносные с вын. БД'!I18,2,9)</f>
      </c>
      <c r="P62" s="587">
        <f>IF(IF(ISNA(INDEX(СГИ!$Q$3:$AJ$22,VLOOKUP($O62,СГИ!$O$3:$P$22,2),HLOOKUP(P$50,СГИ!$Q$1:$AJ$2,2))),"",INDEX(СГИ!$Q$3:$AJ$22,VLOOKUP($O62,СГИ!$O$3:$P$22,2),HLOOKUP(P$50,СГИ!$Q$1:$AJ$2,2)))=1,CONCATENATE("при измерении ",$O62," ",P$50," не допускается ! "),"")</f>
      </c>
      <c r="Q62" s="587">
        <f>IF(IF(ISNA(INDEX(СГИ!$Q$3:$AJ$22,VLOOKUP($O62,СГИ!$O$3:$P$22,2),HLOOKUP(Q$50,СГИ!$Q$1:$AJ$2,2))),"",INDEX(СГИ!$Q$3:$AJ$22,VLOOKUP($O62,СГИ!$O$3:$P$22,2),HLOOKUP(Q$50,СГИ!$Q$1:$AJ$2,2)))=1,CONCATENATE("при измерении ",$O62," ",Q$50," не допускается ! "),"")</f>
      </c>
      <c r="R62" s="587">
        <f>IF(IF(ISNA(INDEX(СГИ!$Q$3:$AJ$22,VLOOKUP($O62,СГИ!$O$3:$P$22,2),HLOOKUP(R$50,СГИ!$Q$1:$AJ$2,2))),"",INDEX(СГИ!$Q$3:$AJ$22,VLOOKUP($O62,СГИ!$O$3:$P$22,2),HLOOKUP(R$50,СГИ!$Q$1:$AJ$2,2)))=1,CONCATENATE("при измерении ",$O62," ",R$50," не допускается ! "),"")</f>
      </c>
      <c r="S62" s="587">
        <f>IF(IF(ISNA(INDEX(СГИ!$Q$3:$AJ$22,VLOOKUP($O62,СГИ!$O$3:$P$22,2),HLOOKUP(S$50,СГИ!$Q$1:$AJ$2,2))),"",INDEX(СГИ!$Q$3:$AJ$22,VLOOKUP($O62,СГИ!$O$3:$P$22,2),HLOOKUP(S$50,СГИ!$Q$1:$AJ$2,2)))=1,CONCATENATE("при измерении ",$O62," ",S$50," не допускается ! "),"")</f>
      </c>
      <c r="T62" s="587">
        <f>IF(IF(ISNA(INDEX(СГИ!$Q$3:$AJ$22,VLOOKUP($O62,СГИ!$O$3:$P$22,2),HLOOKUP(T$50,СГИ!$Q$1:$AJ$2,2))),"",INDEX(СГИ!$Q$3:$AJ$22,VLOOKUP($O62,СГИ!$O$3:$P$22,2),HLOOKUP(T$50,СГИ!$Q$1:$AJ$2,2)))=1,CONCATENATE("при измерении ",$O62," ",T$50," не допускается ! "),"")</f>
      </c>
      <c r="U62" s="587">
        <f>IF(IF(ISNA(INDEX(СГИ!$Q$3:$AJ$22,VLOOKUP($O62,СГИ!$O$3:$P$22,2),HLOOKUP(U$50,СГИ!$Q$1:$AJ$2,2))),"",INDEX(СГИ!$Q$3:$AJ$22,VLOOKUP($O62,СГИ!$O$3:$P$22,2),HLOOKUP(U$50,СГИ!$Q$1:$AJ$2,2)))=1,CONCATENATE("при измерении ",$O62," ",U$50," не допускается ! "),"")</f>
      </c>
      <c r="V62" s="587">
        <f>IF(IF(ISNA(INDEX(СГИ!$Q$3:$AJ$22,VLOOKUP($O62,СГИ!$O$3:$P$22,2),HLOOKUP(V$50,СГИ!$Q$1:$AJ$2,2))),"",INDEX(СГИ!$Q$3:$AJ$22,VLOOKUP($O62,СГИ!$O$3:$P$22,2),HLOOKUP(V$50,СГИ!$Q$1:$AJ$2,2)))=1,CONCATENATE("при измерении ",$O62," ",V$50," не допускается ! "),"")</f>
      </c>
      <c r="W62" s="587">
        <f>IF(IF(ISNA(INDEX(СГИ!$Q$3:$AJ$22,VLOOKUP($O62,СГИ!$O$3:$P$22,2),HLOOKUP(W$50,СГИ!$Q$1:$AJ$2,2))),"",INDEX(СГИ!$Q$3:$AJ$22,VLOOKUP($O62,СГИ!$O$3:$P$22,2),HLOOKUP(W$50,СГИ!$Q$1:$AJ$2,2)))=1,CONCATENATE("при измерении ",$O62," ",W$50," не допускается ! "),"")</f>
      </c>
      <c r="X62" s="587">
        <f>IF(IF(ISNA(INDEX(СГИ!$Q$3:$AJ$22,VLOOKUP($O62,СГИ!$O$3:$P$22,2),HLOOKUP(X$50,СГИ!$Q$1:$AJ$2,2))),"",INDEX(СГИ!$Q$3:$AJ$22,VLOOKUP($O62,СГИ!$O$3:$P$22,2),HLOOKUP(X$50,СГИ!$Q$1:$AJ$2,2)))=1,CONCATENATE("при измерении ",$O62," ",X$50," не допускается ! "),"")</f>
      </c>
      <c r="Y62" s="587">
        <f>IF(IF(ISNA(INDEX(СГИ!$Q$3:$AJ$22,VLOOKUP($O62,СГИ!$O$3:$P$22,2),HLOOKUP(Y$50,СГИ!$Q$1:$AJ$2,2))),"",INDEX(СГИ!$Q$3:$AJ$22,VLOOKUP($O62,СГИ!$O$3:$P$22,2),HLOOKUP(Y$50,СГИ!$Q$1:$AJ$2,2)))=1,CONCATENATE("при измерении ",$O62," ",Y$50," не допускается ! "),"")</f>
      </c>
      <c r="Z62" s="587">
        <f>IF(IF(ISNA(INDEX(СГИ!$Q$3:$AJ$22,VLOOKUP($O62,СГИ!$O$3:$P$22,2),HLOOKUP(Z$50,СГИ!$Q$1:$AJ$2,2))),"",INDEX(СГИ!$Q$3:$AJ$22,VLOOKUP($O62,СГИ!$O$3:$P$22,2),HLOOKUP(Z$50,СГИ!$Q$1:$AJ$2,2)))=1,CONCATENATE("при измерении ",$O62," ",Z$50," не допускается ! "),"")</f>
      </c>
      <c r="AA62" s="587">
        <f>IF(IF(ISNA(INDEX(СГИ!$Q$3:$AJ$22,VLOOKUP($O62,СГИ!$O$3:$P$22,2),HLOOKUP(AA$50,СГИ!$Q$1:$AJ$2,2))),"",INDEX(СГИ!$Q$3:$AJ$22,VLOOKUP($O62,СГИ!$O$3:$P$22,2),HLOOKUP(AA$50,СГИ!$Q$1:$AJ$2,2)))=1,CONCATENATE("при измерении ",$O62," ",AA$50," не допускается ! "),"")</f>
      </c>
      <c r="AB62" s="587">
        <f>IF(IF(ISNA(INDEX(СГИ!$Q$3:$AJ$22,VLOOKUP($O62,СГИ!$O$3:$P$22,2),HLOOKUP(AB$50,СГИ!$Q$1:$AJ$2,2))),"",INDEX(СГИ!$Q$3:$AJ$22,VLOOKUP($O62,СГИ!$O$3:$P$22,2),HLOOKUP(AB$50,СГИ!$Q$1:$AJ$2,2)))=1,CONCATENATE("при измерении ",$O62," ",AB$50," не допускается ! "),"")</f>
      </c>
      <c r="AC62" s="587">
        <f>IF(IF(ISNA(INDEX(СГИ!$Q$3:$AJ$22,VLOOKUP($O62,СГИ!$O$3:$P$22,2),HLOOKUP(AC$50,СГИ!$Q$1:$AJ$2,2))),"",INDEX(СГИ!$Q$3:$AJ$22,VLOOKUP($O62,СГИ!$O$3:$P$22,2),HLOOKUP(AC$50,СГИ!$Q$1:$AJ$2,2)))=1,CONCATENATE("при измерении ",$O62," ",AC$50," не допускается ! "),"")</f>
      </c>
      <c r="AD62" s="587">
        <f>IF(IF(ISNA(INDEX(СГИ!$Q$3:$AJ$22,VLOOKUP($O62,СГИ!$O$3:$P$22,2),HLOOKUP(AD$50,СГИ!$Q$1:$AJ$2,2))),"",INDEX(СГИ!$Q$3:$AJ$22,VLOOKUP($O62,СГИ!$O$3:$P$22,2),HLOOKUP(AD$50,СГИ!$Q$1:$AJ$2,2)))=1,CONCATENATE("при измерении ",$O62," ",AD$50," не допускается ! "),"")</f>
      </c>
      <c r="AE62" s="587">
        <f>IF(IF(ISNA(INDEX(СГИ!$Q$3:$AJ$22,VLOOKUP($O62,СГИ!$O$3:$P$22,2),HLOOKUP(AE$50,СГИ!$Q$1:$AJ$2,2))),"",INDEX(СГИ!$Q$3:$AJ$22,VLOOKUP($O62,СГИ!$O$3:$P$22,2),HLOOKUP(AE$50,СГИ!$Q$1:$AJ$2,2)))=1,CONCATENATE("при измерении ",$O62," ",AE$50," не допускается ! "),"")</f>
      </c>
      <c r="AF62" s="587">
        <f>IF(IF(ISNA(INDEX(СГИ!$Q$3:$AJ$22,VLOOKUP($O62,СГИ!$O$3:$P$22,2),HLOOKUP(AF$50,СГИ!$Q$1:$AJ$2,2))),"",INDEX(СГИ!$Q$3:$AJ$22,VLOOKUP($O62,СГИ!$O$3:$P$22,2),HLOOKUP(AF$50,СГИ!$Q$1:$AJ$2,2)))=1,CONCATENATE("при измерении ",$O62," ",AF$50," не допускается ! "),"")</f>
      </c>
      <c r="AG62" s="615">
        <f>IF(IF(ISNA(INDEX(СГИ!$Q$3:$AJ$22,VLOOKUP($O62,СГИ!$O$3:$P$22,2),HLOOKUP(AG$50,СГИ!$Q$1:$AJ$2,2))),"",INDEX(СГИ!$Q$3:$AJ$22,VLOOKUP($O62,СГИ!$O$3:$P$22,2),HLOOKUP(AG$50,СГИ!$Q$1:$AJ$2,2)))=1,CONCATENATE("при измерении ",$O62," ",AG$50," не допускается ! "),"")</f>
      </c>
      <c r="AH62" s="1">
        <f t="shared" si="1"/>
      </c>
      <c r="AJ62" s="892" t="s">
        <v>755</v>
      </c>
    </row>
    <row r="63" spans="1:36" ht="33" customHeight="1" thickBot="1">
      <c r="A63" s="575">
        <f>IF('И11-Переносные с вын. БД'!H2="",I48,"")</f>
      </c>
      <c r="G63" s="575">
        <f>IF(AND('И11-Переносные с вын. БД'!L6=1,SUM('И11-Переносные с вын. БД'!D9:D11)=1),IF(SUM('И11-Переносные с вын. БД'!D13:D23)&lt;3,"",I63),"")</f>
      </c>
      <c r="H63" s="847" t="s">
        <v>912</v>
      </c>
      <c r="I63" s="576" t="s">
        <v>921</v>
      </c>
      <c r="J63" s="763">
        <f>IF('И11-Переносные с вын. БД'!D13&gt;0,ПГ!D13,"")</f>
      </c>
      <c r="K63" s="766"/>
      <c r="L63" s="749"/>
      <c r="M63" s="557"/>
      <c r="N63" s="561"/>
      <c r="O63" s="614">
        <f>MID('И11-Переносные с вын. БД'!I19,2,9)</f>
      </c>
      <c r="P63" s="587">
        <f>IF(IF(ISNA(INDEX(СГИ!$Q$3:$AJ$22,VLOOKUP($O63,СГИ!$O$3:$P$22,2),HLOOKUP(P$50,СГИ!$Q$1:$AJ$2,2))),"",INDEX(СГИ!$Q$3:$AJ$22,VLOOKUP($O63,СГИ!$O$3:$P$22,2),HLOOKUP(P$50,СГИ!$Q$1:$AJ$2,2)))=1,CONCATENATE("при измерении ",$O63," ",P$50," не допускается ! "),"")</f>
      </c>
      <c r="Q63" s="587">
        <f>IF(IF(ISNA(INDEX(СГИ!$Q$3:$AJ$22,VLOOKUP($O63,СГИ!$O$3:$P$22,2),HLOOKUP(Q$50,СГИ!$Q$1:$AJ$2,2))),"",INDEX(СГИ!$Q$3:$AJ$22,VLOOKUP($O63,СГИ!$O$3:$P$22,2),HLOOKUP(Q$50,СГИ!$Q$1:$AJ$2,2)))=1,CONCATENATE("при измерении ",$O63," ",Q$50," не допускается ! "),"")</f>
      </c>
      <c r="R63" s="587">
        <f>IF(IF(ISNA(INDEX(СГИ!$Q$3:$AJ$22,VLOOKUP($O63,СГИ!$O$3:$P$22,2),HLOOKUP(R$50,СГИ!$Q$1:$AJ$2,2))),"",INDEX(СГИ!$Q$3:$AJ$22,VLOOKUP($O63,СГИ!$O$3:$P$22,2),HLOOKUP(R$50,СГИ!$Q$1:$AJ$2,2)))=1,CONCATENATE("при измерении ",$O63," ",R$50," не допускается ! "),"")</f>
      </c>
      <c r="S63" s="587">
        <f>IF(IF(ISNA(INDEX(СГИ!$Q$3:$AJ$22,VLOOKUP($O63,СГИ!$O$3:$P$22,2),HLOOKUP(S$50,СГИ!$Q$1:$AJ$2,2))),"",INDEX(СГИ!$Q$3:$AJ$22,VLOOKUP($O63,СГИ!$O$3:$P$22,2),HLOOKUP(S$50,СГИ!$Q$1:$AJ$2,2)))=1,CONCATENATE("при измерении ",$O63," ",S$50," не допускается ! "),"")</f>
      </c>
      <c r="T63" s="587">
        <f>IF(IF(ISNA(INDEX(СГИ!$Q$3:$AJ$22,VLOOKUP($O63,СГИ!$O$3:$P$22,2),HLOOKUP(T$50,СГИ!$Q$1:$AJ$2,2))),"",INDEX(СГИ!$Q$3:$AJ$22,VLOOKUP($O63,СГИ!$O$3:$P$22,2),HLOOKUP(T$50,СГИ!$Q$1:$AJ$2,2)))=1,CONCATENATE("при измерении ",$O63," ",T$50," не допускается ! "),"")</f>
      </c>
      <c r="U63" s="587">
        <f>IF(IF(ISNA(INDEX(СГИ!$Q$3:$AJ$22,VLOOKUP($O63,СГИ!$O$3:$P$22,2),HLOOKUP(U$50,СГИ!$Q$1:$AJ$2,2))),"",INDEX(СГИ!$Q$3:$AJ$22,VLOOKUP($O63,СГИ!$O$3:$P$22,2),HLOOKUP(U$50,СГИ!$Q$1:$AJ$2,2)))=1,CONCATENATE("при измерении ",$O63," ",U$50," не допускается ! "),"")</f>
      </c>
      <c r="V63" s="587">
        <f>IF(IF(ISNA(INDEX(СГИ!$Q$3:$AJ$22,VLOOKUP($O63,СГИ!$O$3:$P$22,2),HLOOKUP(V$50,СГИ!$Q$1:$AJ$2,2))),"",INDEX(СГИ!$Q$3:$AJ$22,VLOOKUP($O63,СГИ!$O$3:$P$22,2),HLOOKUP(V$50,СГИ!$Q$1:$AJ$2,2)))=1,CONCATENATE("при измерении ",$O63," ",V$50," не допускается ! "),"")</f>
      </c>
      <c r="W63" s="587">
        <f>IF(IF(ISNA(INDEX(СГИ!$Q$3:$AJ$22,VLOOKUP($O63,СГИ!$O$3:$P$22,2),HLOOKUP(W$50,СГИ!$Q$1:$AJ$2,2))),"",INDEX(СГИ!$Q$3:$AJ$22,VLOOKUP($O63,СГИ!$O$3:$P$22,2),HLOOKUP(W$50,СГИ!$Q$1:$AJ$2,2)))=1,CONCATENATE("при измерении ",$O63," ",W$50," не допускается ! "),"")</f>
      </c>
      <c r="X63" s="587">
        <f>IF(IF(ISNA(INDEX(СГИ!$Q$3:$AJ$22,VLOOKUP($O63,СГИ!$O$3:$P$22,2),HLOOKUP(X$50,СГИ!$Q$1:$AJ$2,2))),"",INDEX(СГИ!$Q$3:$AJ$22,VLOOKUP($O63,СГИ!$O$3:$P$22,2),HLOOKUP(X$50,СГИ!$Q$1:$AJ$2,2)))=1,CONCATENATE("при измерении ",$O63," ",X$50," не допускается ! "),"")</f>
      </c>
      <c r="Y63" s="587">
        <f>IF(IF(ISNA(INDEX(СГИ!$Q$3:$AJ$22,VLOOKUP($O63,СГИ!$O$3:$P$22,2),HLOOKUP(Y$50,СГИ!$Q$1:$AJ$2,2))),"",INDEX(СГИ!$Q$3:$AJ$22,VLOOKUP($O63,СГИ!$O$3:$P$22,2),HLOOKUP(Y$50,СГИ!$Q$1:$AJ$2,2)))=1,CONCATENATE("при измерении ",$O63," ",Y$50," не допускается ! "),"")</f>
      </c>
      <c r="Z63" s="587">
        <f>IF(IF(ISNA(INDEX(СГИ!$Q$3:$AJ$22,VLOOKUP($O63,СГИ!$O$3:$P$22,2),HLOOKUP(Z$50,СГИ!$Q$1:$AJ$2,2))),"",INDEX(СГИ!$Q$3:$AJ$22,VLOOKUP($O63,СГИ!$O$3:$P$22,2),HLOOKUP(Z$50,СГИ!$Q$1:$AJ$2,2)))=1,CONCATENATE("при измерении ",$O63," ",Z$50," не допускается ! "),"")</f>
      </c>
      <c r="AA63" s="587">
        <f>IF(IF(ISNA(INDEX(СГИ!$Q$3:$AJ$22,VLOOKUP($O63,СГИ!$O$3:$P$22,2),HLOOKUP(AA$50,СГИ!$Q$1:$AJ$2,2))),"",INDEX(СГИ!$Q$3:$AJ$22,VLOOKUP($O63,СГИ!$O$3:$P$22,2),HLOOKUP(AA$50,СГИ!$Q$1:$AJ$2,2)))=1,CONCATENATE("при измерении ",$O63," ",AA$50," не допускается ! "),"")</f>
      </c>
      <c r="AB63" s="587">
        <f>IF(IF(ISNA(INDEX(СГИ!$Q$3:$AJ$22,VLOOKUP($O63,СГИ!$O$3:$P$22,2),HLOOKUP(AB$50,СГИ!$Q$1:$AJ$2,2))),"",INDEX(СГИ!$Q$3:$AJ$22,VLOOKUP($O63,СГИ!$O$3:$P$22,2),HLOOKUP(AB$50,СГИ!$Q$1:$AJ$2,2)))=1,CONCATENATE("при измерении ",$O63," ",AB$50," не допускается ! "),"")</f>
      </c>
      <c r="AC63" s="587">
        <f>IF(IF(ISNA(INDEX(СГИ!$Q$3:$AJ$22,VLOOKUP($O63,СГИ!$O$3:$P$22,2),HLOOKUP(AC$50,СГИ!$Q$1:$AJ$2,2))),"",INDEX(СГИ!$Q$3:$AJ$22,VLOOKUP($O63,СГИ!$O$3:$P$22,2),HLOOKUP(AC$50,СГИ!$Q$1:$AJ$2,2)))=1,CONCATENATE("при измерении ",$O63," ",AC$50," не допускается ! "),"")</f>
      </c>
      <c r="AD63" s="587">
        <f>IF(IF(ISNA(INDEX(СГИ!$Q$3:$AJ$22,VLOOKUP($O63,СГИ!$O$3:$P$22,2),HLOOKUP(AD$50,СГИ!$Q$1:$AJ$2,2))),"",INDEX(СГИ!$Q$3:$AJ$22,VLOOKUP($O63,СГИ!$O$3:$P$22,2),HLOOKUP(AD$50,СГИ!$Q$1:$AJ$2,2)))=1,CONCATENATE("при измерении ",$O63," ",AD$50," не допускается ! "),"")</f>
      </c>
      <c r="AE63" s="587">
        <f>IF(IF(ISNA(INDEX(СГИ!$Q$3:$AJ$22,VLOOKUP($O63,СГИ!$O$3:$P$22,2),HLOOKUP(AE$50,СГИ!$Q$1:$AJ$2,2))),"",INDEX(СГИ!$Q$3:$AJ$22,VLOOKUP($O63,СГИ!$O$3:$P$22,2),HLOOKUP(AE$50,СГИ!$Q$1:$AJ$2,2)))=1,CONCATENATE("при измерении ",$O63," ",AE$50," не допускается ! "),"")</f>
      </c>
      <c r="AF63" s="587">
        <f>IF(IF(ISNA(INDEX(СГИ!$Q$3:$AJ$22,VLOOKUP($O63,СГИ!$O$3:$P$22,2),HLOOKUP(AF$50,СГИ!$Q$1:$AJ$2,2))),"",INDEX(СГИ!$Q$3:$AJ$22,VLOOKUP($O63,СГИ!$O$3:$P$22,2),HLOOKUP(AF$50,СГИ!$Q$1:$AJ$2,2)))=1,CONCATENATE("при измерении ",$O63," ",AF$50," не допускается ! "),"")</f>
      </c>
      <c r="AG63" s="615">
        <f>IF(IF(ISNA(INDEX(СГИ!$Q$3:$AJ$22,VLOOKUP($O63,СГИ!$O$3:$P$22,2),HLOOKUP(AG$50,СГИ!$Q$1:$AJ$2,2))),"",INDEX(СГИ!$Q$3:$AJ$22,VLOOKUP($O63,СГИ!$O$3:$P$22,2),HLOOKUP(AG$50,СГИ!$Q$1:$AJ$2,2)))=1,CONCATENATE("при измерении ",$O63," ",AG$50," не допускается ! "),"")</f>
      </c>
      <c r="AH63" s="1">
        <f t="shared" si="1"/>
      </c>
      <c r="AJ63" s="892" t="s">
        <v>756</v>
      </c>
    </row>
    <row r="64" spans="2:34" ht="33" customHeight="1" thickBot="1">
      <c r="B64"/>
      <c r="G64" s="575">
        <f>IF(AND('И11-Переносные с вын. БД'!L6=1,SUM('И11-Переносные с вын. БД'!D9:D11)=1),IF(SUM('И11-Переносные с вын. БД'!D12:D13)&lt;2,"",I64),"")</f>
      </c>
      <c r="H64" s="847" t="s">
        <v>711</v>
      </c>
      <c r="I64" s="576" t="s">
        <v>641</v>
      </c>
      <c r="J64" s="763">
        <f>IF('И11-Переносные с вын. БД'!D20&gt;0,ПГ!D20,"")</f>
      </c>
      <c r="K64" s="766"/>
      <c r="L64" s="749"/>
      <c r="M64" s="557"/>
      <c r="N64" s="561"/>
      <c r="O64" s="614">
        <f>MID('И11-Переносные с вын. БД'!I20,2,9)</f>
      </c>
      <c r="P64" s="587">
        <f>IF(IF(ISNA(INDEX(СГИ!$Q$3:$AJ$22,VLOOKUP($O64,СГИ!$O$3:$P$22,2),HLOOKUP(P$50,СГИ!$Q$1:$AJ$2,2))),"",INDEX(СГИ!$Q$3:$AJ$22,VLOOKUP($O64,СГИ!$O$3:$P$22,2),HLOOKUP(P$50,СГИ!$Q$1:$AJ$2,2)))=1,CONCATENATE("при измерении ",$O64," ",P$50," не допускается ! "),"")</f>
      </c>
      <c r="Q64" s="587">
        <f>IF(IF(ISNA(INDEX(СГИ!$Q$3:$AJ$22,VLOOKUP($O64,СГИ!$O$3:$P$22,2),HLOOKUP(Q$50,СГИ!$Q$1:$AJ$2,2))),"",INDEX(СГИ!$Q$3:$AJ$22,VLOOKUP($O64,СГИ!$O$3:$P$22,2),HLOOKUP(Q$50,СГИ!$Q$1:$AJ$2,2)))=1,CONCATENATE("при измерении ",$O64," ",Q$50," не допускается ! "),"")</f>
      </c>
      <c r="R64" s="587">
        <f>IF(IF(ISNA(INDEX(СГИ!$Q$3:$AJ$22,VLOOKUP($O64,СГИ!$O$3:$P$22,2),HLOOKUP(R$50,СГИ!$Q$1:$AJ$2,2))),"",INDEX(СГИ!$Q$3:$AJ$22,VLOOKUP($O64,СГИ!$O$3:$P$22,2),HLOOKUP(R$50,СГИ!$Q$1:$AJ$2,2)))=1,CONCATENATE("при измерении ",$O64," ",R$50," не допускается ! "),"")</f>
      </c>
      <c r="S64" s="587">
        <f>IF(IF(ISNA(INDEX(СГИ!$Q$3:$AJ$22,VLOOKUP($O64,СГИ!$O$3:$P$22,2),HLOOKUP(S$50,СГИ!$Q$1:$AJ$2,2))),"",INDEX(СГИ!$Q$3:$AJ$22,VLOOKUP($O64,СГИ!$O$3:$P$22,2),HLOOKUP(S$50,СГИ!$Q$1:$AJ$2,2)))=1,CONCATENATE("при измерении ",$O64," ",S$50," не допускается ! "),"")</f>
      </c>
      <c r="T64" s="587">
        <f>IF(IF(ISNA(INDEX(СГИ!$Q$3:$AJ$22,VLOOKUP($O64,СГИ!$O$3:$P$22,2),HLOOKUP(T$50,СГИ!$Q$1:$AJ$2,2))),"",INDEX(СГИ!$Q$3:$AJ$22,VLOOKUP($O64,СГИ!$O$3:$P$22,2),HLOOKUP(T$50,СГИ!$Q$1:$AJ$2,2)))=1,CONCATENATE("при измерении ",$O64," ",T$50," не допускается ! "),"")</f>
      </c>
      <c r="U64" s="587">
        <f>IF(IF(ISNA(INDEX(СГИ!$Q$3:$AJ$22,VLOOKUP($O64,СГИ!$O$3:$P$22,2),HLOOKUP(U$50,СГИ!$Q$1:$AJ$2,2))),"",INDEX(СГИ!$Q$3:$AJ$22,VLOOKUP($O64,СГИ!$O$3:$P$22,2),HLOOKUP(U$50,СГИ!$Q$1:$AJ$2,2)))=1,CONCATENATE("при измерении ",$O64," ",U$50," не допускается ! "),"")</f>
      </c>
      <c r="V64" s="587">
        <f>IF(IF(ISNA(INDEX(СГИ!$Q$3:$AJ$22,VLOOKUP($O64,СГИ!$O$3:$P$22,2),HLOOKUP(V$50,СГИ!$Q$1:$AJ$2,2))),"",INDEX(СГИ!$Q$3:$AJ$22,VLOOKUP($O64,СГИ!$O$3:$P$22,2),HLOOKUP(V$50,СГИ!$Q$1:$AJ$2,2)))=1,CONCATENATE("при измерении ",$O64," ",V$50," не допускается ! "),"")</f>
      </c>
      <c r="W64" s="587">
        <f>IF(IF(ISNA(INDEX(СГИ!$Q$3:$AJ$22,VLOOKUP($O64,СГИ!$O$3:$P$22,2),HLOOKUP(W$50,СГИ!$Q$1:$AJ$2,2))),"",INDEX(СГИ!$Q$3:$AJ$22,VLOOKUP($O64,СГИ!$O$3:$P$22,2),HLOOKUP(W$50,СГИ!$Q$1:$AJ$2,2)))=1,CONCATENATE("при измерении ",$O64," ",W$50," не допускается ! "),"")</f>
      </c>
      <c r="X64" s="587">
        <f>IF(IF(ISNA(INDEX(СГИ!$Q$3:$AJ$22,VLOOKUP($O64,СГИ!$O$3:$P$22,2),HLOOKUP(X$50,СГИ!$Q$1:$AJ$2,2))),"",INDEX(СГИ!$Q$3:$AJ$22,VLOOKUP($O64,СГИ!$O$3:$P$22,2),HLOOKUP(X$50,СГИ!$Q$1:$AJ$2,2)))=1,CONCATENATE("при измерении ",$O64," ",X$50," не допускается ! "),"")</f>
      </c>
      <c r="Y64" s="587">
        <f>IF(IF(ISNA(INDEX(СГИ!$Q$3:$AJ$22,VLOOKUP($O64,СГИ!$O$3:$P$22,2),HLOOKUP(Y$50,СГИ!$Q$1:$AJ$2,2))),"",INDEX(СГИ!$Q$3:$AJ$22,VLOOKUP($O64,СГИ!$O$3:$P$22,2),HLOOKUP(Y$50,СГИ!$Q$1:$AJ$2,2)))=1,CONCATENATE("при измерении ",$O64," ",Y$50," не допускается ! "),"")</f>
      </c>
      <c r="Z64" s="587">
        <f>IF(IF(ISNA(INDEX(СГИ!$Q$3:$AJ$22,VLOOKUP($O64,СГИ!$O$3:$P$22,2),HLOOKUP(Z$50,СГИ!$Q$1:$AJ$2,2))),"",INDEX(СГИ!$Q$3:$AJ$22,VLOOKUP($O64,СГИ!$O$3:$P$22,2),HLOOKUP(Z$50,СГИ!$Q$1:$AJ$2,2)))=1,CONCATENATE("при измерении ",$O64," ",Z$50," не допускается ! "),"")</f>
      </c>
      <c r="AA64" s="587">
        <f>IF(IF(ISNA(INDEX(СГИ!$Q$3:$AJ$22,VLOOKUP($O64,СГИ!$O$3:$P$22,2),HLOOKUP(AA$50,СГИ!$Q$1:$AJ$2,2))),"",INDEX(СГИ!$Q$3:$AJ$22,VLOOKUP($O64,СГИ!$O$3:$P$22,2),HLOOKUP(AA$50,СГИ!$Q$1:$AJ$2,2)))=1,CONCATENATE("при измерении ",$O64," ",AA$50," не допускается ! "),"")</f>
      </c>
      <c r="AB64" s="587">
        <f>IF(IF(ISNA(INDEX(СГИ!$Q$3:$AJ$22,VLOOKUP($O64,СГИ!$O$3:$P$22,2),HLOOKUP(AB$50,СГИ!$Q$1:$AJ$2,2))),"",INDEX(СГИ!$Q$3:$AJ$22,VLOOKUP($O64,СГИ!$O$3:$P$22,2),HLOOKUP(AB$50,СГИ!$Q$1:$AJ$2,2)))=1,CONCATENATE("при измерении ",$O64," ",AB$50," не допускается ! "),"")</f>
      </c>
      <c r="AC64" s="587">
        <f>IF(IF(ISNA(INDEX(СГИ!$Q$3:$AJ$22,VLOOKUP($O64,СГИ!$O$3:$P$22,2),HLOOKUP(AC$50,СГИ!$Q$1:$AJ$2,2))),"",INDEX(СГИ!$Q$3:$AJ$22,VLOOKUP($O64,СГИ!$O$3:$P$22,2),HLOOKUP(AC$50,СГИ!$Q$1:$AJ$2,2)))=1,CONCATENATE("при измерении ",$O64," ",AC$50," не допускается ! "),"")</f>
      </c>
      <c r="AD64" s="587">
        <f>IF(IF(ISNA(INDEX(СГИ!$Q$3:$AJ$22,VLOOKUP($O64,СГИ!$O$3:$P$22,2),HLOOKUP(AD$50,СГИ!$Q$1:$AJ$2,2))),"",INDEX(СГИ!$Q$3:$AJ$22,VLOOKUP($O64,СГИ!$O$3:$P$22,2),HLOOKUP(AD$50,СГИ!$Q$1:$AJ$2,2)))=1,CONCATENATE("при измерении ",$O64," ",AD$50," не допускается ! "),"")</f>
      </c>
      <c r="AE64" s="587">
        <f>IF(IF(ISNA(INDEX(СГИ!$Q$3:$AJ$22,VLOOKUP($O64,СГИ!$O$3:$P$22,2),HLOOKUP(AE$50,СГИ!$Q$1:$AJ$2,2))),"",INDEX(СГИ!$Q$3:$AJ$22,VLOOKUP($O64,СГИ!$O$3:$P$22,2),HLOOKUP(AE$50,СГИ!$Q$1:$AJ$2,2)))=1,CONCATENATE("при измерении ",$O64," ",AE$50," не допускается ! "),"")</f>
      </c>
      <c r="AF64" s="587">
        <f>IF(IF(ISNA(INDEX(СГИ!$Q$3:$AJ$22,VLOOKUP($O64,СГИ!$O$3:$P$22,2),HLOOKUP(AF$50,СГИ!$Q$1:$AJ$2,2))),"",INDEX(СГИ!$Q$3:$AJ$22,VLOOKUP($O64,СГИ!$O$3:$P$22,2),HLOOKUP(AF$50,СГИ!$Q$1:$AJ$2,2)))=1,CONCATENATE("при измерении ",$O64," ",AF$50," не допускается ! "),"")</f>
      </c>
      <c r="AG64" s="615">
        <f>IF(IF(ISNA(INDEX(СГИ!$Q$3:$AJ$22,VLOOKUP($O64,СГИ!$O$3:$P$22,2),HLOOKUP(AG$50,СГИ!$Q$1:$AJ$2,2))),"",INDEX(СГИ!$Q$3:$AJ$22,VLOOKUP($O64,СГИ!$O$3:$P$22,2),HLOOKUP(AG$50,СГИ!$Q$1:$AJ$2,2)))=1,CONCATENATE("при измерении ",$O64," ",AG$50," не допускается ! "),"")</f>
      </c>
      <c r="AH64" s="1">
        <f t="shared" si="1"/>
      </c>
    </row>
    <row r="65" spans="1:34" ht="33" customHeight="1" thickBot="1">
      <c r="A65" s="826" t="s">
        <v>679</v>
      </c>
      <c r="B65"/>
      <c r="C65" s="828" t="s">
        <v>703</v>
      </c>
      <c r="E65" s="827" t="s">
        <v>704</v>
      </c>
      <c r="G65" s="575">
        <f>IF('И11-Переносные с вын. БД'!L6=1,IF(SUM('И11-Переносные с вын. БД'!D14:D23)&lt;3,"",I61),"")</f>
      </c>
      <c r="H65" s="847" t="s">
        <v>712</v>
      </c>
      <c r="I65" s="1" t="s">
        <v>558</v>
      </c>
      <c r="J65" s="763">
        <f>IF('И11-Переносные с вын. БД'!D21&gt;0,ПГ!D21,"")</f>
      </c>
      <c r="K65" s="766"/>
      <c r="L65" s="749"/>
      <c r="M65" s="557"/>
      <c r="N65" s="561"/>
      <c r="O65" s="614">
        <f>MID('И11-Переносные с вын. БД'!I21,2,9)</f>
      </c>
      <c r="P65" s="587">
        <f>IF(IF(ISNA(INDEX(СГИ!$Q$3:$AJ$22,VLOOKUP($O65,СГИ!$O$3:$P$22,2),HLOOKUP(P$50,СГИ!$Q$1:$AJ$2,2))),"",INDEX(СГИ!$Q$3:$AJ$22,VLOOKUP($O65,СГИ!$O$3:$P$22,2),HLOOKUP(P$50,СГИ!$Q$1:$AJ$2,2)))=1,CONCATENATE("при измерении ",$O65," ",P$50," не допускается ! "),"")</f>
      </c>
      <c r="Q65" s="587">
        <f>IF(IF(ISNA(INDEX(СГИ!$Q$3:$AJ$22,VLOOKUP($O65,СГИ!$O$3:$P$22,2),HLOOKUP(Q$50,СГИ!$Q$1:$AJ$2,2))),"",INDEX(СГИ!$Q$3:$AJ$22,VLOOKUP($O65,СГИ!$O$3:$P$22,2),HLOOKUP(Q$50,СГИ!$Q$1:$AJ$2,2)))=1,CONCATENATE("при измерении ",$O65," ",Q$50," не допускается ! "),"")</f>
      </c>
      <c r="R65" s="587">
        <f>IF(IF(ISNA(INDEX(СГИ!$Q$3:$AJ$22,VLOOKUP($O65,СГИ!$O$3:$P$22,2),HLOOKUP(R$50,СГИ!$Q$1:$AJ$2,2))),"",INDEX(СГИ!$Q$3:$AJ$22,VLOOKUP($O65,СГИ!$O$3:$P$22,2),HLOOKUP(R$50,СГИ!$Q$1:$AJ$2,2)))=1,CONCATENATE("при измерении ",$O65," ",R$50," не допускается ! "),"")</f>
      </c>
      <c r="S65" s="587">
        <f>IF(IF(ISNA(INDEX(СГИ!$Q$3:$AJ$22,VLOOKUP($O65,СГИ!$O$3:$P$22,2),HLOOKUP(S$50,СГИ!$Q$1:$AJ$2,2))),"",INDEX(СГИ!$Q$3:$AJ$22,VLOOKUP($O65,СГИ!$O$3:$P$22,2),HLOOKUP(S$50,СГИ!$Q$1:$AJ$2,2)))=1,CONCATENATE("при измерении ",$O65," ",S$50," не допускается ! "),"")</f>
      </c>
      <c r="T65" s="587">
        <f>IF(IF(ISNA(INDEX(СГИ!$Q$3:$AJ$22,VLOOKUP($O65,СГИ!$O$3:$P$22,2),HLOOKUP(T$50,СГИ!$Q$1:$AJ$2,2))),"",INDEX(СГИ!$Q$3:$AJ$22,VLOOKUP($O65,СГИ!$O$3:$P$22,2),HLOOKUP(T$50,СГИ!$Q$1:$AJ$2,2)))=1,CONCATENATE("при измерении ",$O65," ",T$50," не допускается ! "),"")</f>
      </c>
      <c r="U65" s="587">
        <f>IF(IF(ISNA(INDEX(СГИ!$Q$3:$AJ$22,VLOOKUP($O65,СГИ!$O$3:$P$22,2),HLOOKUP(U$50,СГИ!$Q$1:$AJ$2,2))),"",INDEX(СГИ!$Q$3:$AJ$22,VLOOKUP($O65,СГИ!$O$3:$P$22,2),HLOOKUP(U$50,СГИ!$Q$1:$AJ$2,2)))=1,CONCATENATE("при измерении ",$O65," ",U$50," не допускается ! "),"")</f>
      </c>
      <c r="V65" s="587">
        <f>IF(IF(ISNA(INDEX(СГИ!$Q$3:$AJ$22,VLOOKUP($O65,СГИ!$O$3:$P$22,2),HLOOKUP(V$50,СГИ!$Q$1:$AJ$2,2))),"",INDEX(СГИ!$Q$3:$AJ$22,VLOOKUP($O65,СГИ!$O$3:$P$22,2),HLOOKUP(V$50,СГИ!$Q$1:$AJ$2,2)))=1,CONCATENATE("при измерении ",$O65," ",V$50," не допускается ! "),"")</f>
      </c>
      <c r="W65" s="587">
        <f>IF(IF(ISNA(INDEX(СГИ!$Q$3:$AJ$22,VLOOKUP($O65,СГИ!$O$3:$P$22,2),HLOOKUP(W$50,СГИ!$Q$1:$AJ$2,2))),"",INDEX(СГИ!$Q$3:$AJ$22,VLOOKUP($O65,СГИ!$O$3:$P$22,2),HLOOKUP(W$50,СГИ!$Q$1:$AJ$2,2)))=1,CONCATENATE("при измерении ",$O65," ",W$50," не допускается ! "),"")</f>
      </c>
      <c r="X65" s="587">
        <f>IF(IF(ISNA(INDEX(СГИ!$Q$3:$AJ$22,VLOOKUP($O65,СГИ!$O$3:$P$22,2),HLOOKUP(X$50,СГИ!$Q$1:$AJ$2,2))),"",INDEX(СГИ!$Q$3:$AJ$22,VLOOKUP($O65,СГИ!$O$3:$P$22,2),HLOOKUP(X$50,СГИ!$Q$1:$AJ$2,2)))=1,CONCATENATE("при измерении ",$O65," ",X$50," не допускается ! "),"")</f>
      </c>
      <c r="Y65" s="587">
        <f>IF(IF(ISNA(INDEX(СГИ!$Q$3:$AJ$22,VLOOKUP($O65,СГИ!$O$3:$P$22,2),HLOOKUP(Y$50,СГИ!$Q$1:$AJ$2,2))),"",INDEX(СГИ!$Q$3:$AJ$22,VLOOKUP($O65,СГИ!$O$3:$P$22,2),HLOOKUP(Y$50,СГИ!$Q$1:$AJ$2,2)))=1,CONCATENATE("при измерении ",$O65," ",Y$50," не допускается ! "),"")</f>
      </c>
      <c r="Z65" s="587">
        <f>IF(IF(ISNA(INDEX(СГИ!$Q$3:$AJ$22,VLOOKUP($O65,СГИ!$O$3:$P$22,2),HLOOKUP(Z$50,СГИ!$Q$1:$AJ$2,2))),"",INDEX(СГИ!$Q$3:$AJ$22,VLOOKUP($O65,СГИ!$O$3:$P$22,2),HLOOKUP(Z$50,СГИ!$Q$1:$AJ$2,2)))=1,CONCATENATE("при измерении ",$O65," ",Z$50," не допускается ! "),"")</f>
      </c>
      <c r="AA65" s="587">
        <f>IF(IF(ISNA(INDEX(СГИ!$Q$3:$AJ$22,VLOOKUP($O65,СГИ!$O$3:$P$22,2),HLOOKUP(AA$50,СГИ!$Q$1:$AJ$2,2))),"",INDEX(СГИ!$Q$3:$AJ$22,VLOOKUP($O65,СГИ!$O$3:$P$22,2),HLOOKUP(AA$50,СГИ!$Q$1:$AJ$2,2)))=1,CONCATENATE("при измерении ",$O65," ",AA$50," не допускается ! "),"")</f>
      </c>
      <c r="AB65" s="587">
        <f>IF(IF(ISNA(INDEX(СГИ!$Q$3:$AJ$22,VLOOKUP($O65,СГИ!$O$3:$P$22,2),HLOOKUP(AB$50,СГИ!$Q$1:$AJ$2,2))),"",INDEX(СГИ!$Q$3:$AJ$22,VLOOKUP($O65,СГИ!$O$3:$P$22,2),HLOOKUP(AB$50,СГИ!$Q$1:$AJ$2,2)))=1,CONCATENATE("при измерении ",$O65," ",AB$50," не допускается ! "),"")</f>
      </c>
      <c r="AC65" s="587">
        <f>IF(IF(ISNA(INDEX(СГИ!$Q$3:$AJ$22,VLOOKUP($O65,СГИ!$O$3:$P$22,2),HLOOKUP(AC$50,СГИ!$Q$1:$AJ$2,2))),"",INDEX(СГИ!$Q$3:$AJ$22,VLOOKUP($O65,СГИ!$O$3:$P$22,2),HLOOKUP(AC$50,СГИ!$Q$1:$AJ$2,2)))=1,CONCATENATE("при измерении ",$O65," ",AC$50," не допускается ! "),"")</f>
      </c>
      <c r="AD65" s="587">
        <f>IF(IF(ISNA(INDEX(СГИ!$Q$3:$AJ$22,VLOOKUP($O65,СГИ!$O$3:$P$22,2),HLOOKUP(AD$50,СГИ!$Q$1:$AJ$2,2))),"",INDEX(СГИ!$Q$3:$AJ$22,VLOOKUP($O65,СГИ!$O$3:$P$22,2),HLOOKUP(AD$50,СГИ!$Q$1:$AJ$2,2)))=1,CONCATENATE("при измерении ",$O65," ",AD$50," не допускается ! "),"")</f>
      </c>
      <c r="AE65" s="587">
        <f>IF(IF(ISNA(INDEX(СГИ!$Q$3:$AJ$22,VLOOKUP($O65,СГИ!$O$3:$P$22,2),HLOOKUP(AE$50,СГИ!$Q$1:$AJ$2,2))),"",INDEX(СГИ!$Q$3:$AJ$22,VLOOKUP($O65,СГИ!$O$3:$P$22,2),HLOOKUP(AE$50,СГИ!$Q$1:$AJ$2,2)))=1,CONCATENATE("при измерении ",$O65," ",AE$50," не допускается ! "),"")</f>
      </c>
      <c r="AF65" s="587">
        <f>IF(IF(ISNA(INDEX(СГИ!$Q$3:$AJ$22,VLOOKUP($O65,СГИ!$O$3:$P$22,2),HLOOKUP(AF$50,СГИ!$Q$1:$AJ$2,2))),"",INDEX(СГИ!$Q$3:$AJ$22,VLOOKUP($O65,СГИ!$O$3:$P$22,2),HLOOKUP(AF$50,СГИ!$Q$1:$AJ$2,2)))=1,CONCATENATE("при измерении ",$O65," ",AF$50," не допускается ! "),"")</f>
      </c>
      <c r="AG65" s="615">
        <f>IF(IF(ISNA(INDEX(СГИ!$Q$3:$AJ$22,VLOOKUP($O65,СГИ!$O$3:$P$22,2),HLOOKUP(AG$50,СГИ!$Q$1:$AJ$2,2))),"",INDEX(СГИ!$Q$3:$AJ$22,VLOOKUP($O65,СГИ!$O$3:$P$22,2),HLOOKUP(AG$50,СГИ!$Q$1:$AJ$2,2)))=1,CONCATENATE("при измерении ",$O65," ",AG$50," не допускается ! "),"")</f>
      </c>
      <c r="AH65" s="1">
        <f t="shared" si="1"/>
      </c>
    </row>
    <row r="66" spans="1:34" ht="33" customHeight="1" thickBot="1">
      <c r="A66" s="492" t="str">
        <f>AJ47</f>
        <v>-И11</v>
      </c>
      <c r="B66" s="837" t="s">
        <v>659</v>
      </c>
      <c r="C66" s="575" t="str">
        <f>IF(E66="",C68,E66)</f>
        <v>ЦЕНЫ без взрывозащиты</v>
      </c>
      <c r="E66" s="575">
        <f>IF(E68="",IF(E69="",IF(E70="","",E70),E69),E68)</f>
      </c>
      <c r="G66" s="575">
        <f>IF(AND('И11-Переносные с вын. БД'!L6=1,'И11-Переносные с вын. БД'!J26&gt;5),$I$52,"")</f>
      </c>
      <c r="H66" s="847" t="s">
        <v>722</v>
      </c>
      <c r="I66" s="1" t="s">
        <v>560</v>
      </c>
      <c r="J66" s="763">
        <f>IF('И11-Переносные с вын. БД'!D22&gt;0,ПГ!D22,"")</f>
      </c>
      <c r="K66" s="766"/>
      <c r="L66" s="749"/>
      <c r="M66" s="557"/>
      <c r="N66" s="561"/>
      <c r="O66" s="614">
        <f>MID('И11-Переносные с вын. БД'!I22,2,9)</f>
      </c>
      <c r="P66" s="587">
        <f>IF(IF(ISNA(INDEX(СГИ!$Q$3:$AJ$22,VLOOKUP($O66,СГИ!$O$3:$P$22,2),HLOOKUP(P$50,СГИ!$Q$1:$AJ$2,2))),"",INDEX(СГИ!$Q$3:$AJ$22,VLOOKUP($O66,СГИ!$O$3:$P$22,2),HLOOKUP(P$50,СГИ!$Q$1:$AJ$2,2)))=1,CONCATENATE("при измерении ",$O66," ",P$50," не допускается ! "),"")</f>
      </c>
      <c r="Q66" s="587">
        <f>IF(IF(ISNA(INDEX(СГИ!$Q$3:$AJ$22,VLOOKUP($O66,СГИ!$O$3:$P$22,2),HLOOKUP(Q$50,СГИ!$Q$1:$AJ$2,2))),"",INDEX(СГИ!$Q$3:$AJ$22,VLOOKUP($O66,СГИ!$O$3:$P$22,2),HLOOKUP(Q$50,СГИ!$Q$1:$AJ$2,2)))=1,CONCATENATE("при измерении ",$O66," ",Q$50," не допускается ! "),"")</f>
      </c>
      <c r="R66" s="587">
        <f>IF(IF(ISNA(INDEX(СГИ!$Q$3:$AJ$22,VLOOKUP($O66,СГИ!$O$3:$P$22,2),HLOOKUP(R$50,СГИ!$Q$1:$AJ$2,2))),"",INDEX(СГИ!$Q$3:$AJ$22,VLOOKUP($O66,СГИ!$O$3:$P$22,2),HLOOKUP(R$50,СГИ!$Q$1:$AJ$2,2)))=1,CONCATENATE("при измерении ",$O66," ",R$50," не допускается ! "),"")</f>
      </c>
      <c r="S66" s="587">
        <f>IF(IF(ISNA(INDEX(СГИ!$Q$3:$AJ$22,VLOOKUP($O66,СГИ!$O$3:$P$22,2),HLOOKUP(S$50,СГИ!$Q$1:$AJ$2,2))),"",INDEX(СГИ!$Q$3:$AJ$22,VLOOKUP($O66,СГИ!$O$3:$P$22,2),HLOOKUP(S$50,СГИ!$Q$1:$AJ$2,2)))=1,CONCATENATE("при измерении ",$O66," ",S$50," не допускается ! "),"")</f>
      </c>
      <c r="T66" s="587">
        <f>IF(IF(ISNA(INDEX(СГИ!$Q$3:$AJ$22,VLOOKUP($O66,СГИ!$O$3:$P$22,2),HLOOKUP(T$50,СГИ!$Q$1:$AJ$2,2))),"",INDEX(СГИ!$Q$3:$AJ$22,VLOOKUP($O66,СГИ!$O$3:$P$22,2),HLOOKUP(T$50,СГИ!$Q$1:$AJ$2,2)))=1,CONCATENATE("при измерении ",$O66," ",T$50," не допускается ! "),"")</f>
      </c>
      <c r="U66" s="587">
        <f>IF(IF(ISNA(INDEX(СГИ!$Q$3:$AJ$22,VLOOKUP($O66,СГИ!$O$3:$P$22,2),HLOOKUP(U$50,СГИ!$Q$1:$AJ$2,2))),"",INDEX(СГИ!$Q$3:$AJ$22,VLOOKUP($O66,СГИ!$O$3:$P$22,2),HLOOKUP(U$50,СГИ!$Q$1:$AJ$2,2)))=1,CONCATENATE("при измерении ",$O66," ",U$50," не допускается ! "),"")</f>
      </c>
      <c r="V66" s="587">
        <f>IF(IF(ISNA(INDEX(СГИ!$Q$3:$AJ$22,VLOOKUP($O66,СГИ!$O$3:$P$22,2),HLOOKUP(V$50,СГИ!$Q$1:$AJ$2,2))),"",INDEX(СГИ!$Q$3:$AJ$22,VLOOKUP($O66,СГИ!$O$3:$P$22,2),HLOOKUP(V$50,СГИ!$Q$1:$AJ$2,2)))=1,CONCATENATE("при измерении ",$O66," ",V$50," не допускается ! "),"")</f>
      </c>
      <c r="W66" s="587">
        <f>IF(IF(ISNA(INDEX(СГИ!$Q$3:$AJ$22,VLOOKUP($O66,СГИ!$O$3:$P$22,2),HLOOKUP(W$50,СГИ!$Q$1:$AJ$2,2))),"",INDEX(СГИ!$Q$3:$AJ$22,VLOOKUP($O66,СГИ!$O$3:$P$22,2),HLOOKUP(W$50,СГИ!$Q$1:$AJ$2,2)))=1,CONCATENATE("при измерении ",$O66," ",W$50," не допускается ! "),"")</f>
      </c>
      <c r="X66" s="587">
        <f>IF(IF(ISNA(INDEX(СГИ!$Q$3:$AJ$22,VLOOKUP($O66,СГИ!$O$3:$P$22,2),HLOOKUP(X$50,СГИ!$Q$1:$AJ$2,2))),"",INDEX(СГИ!$Q$3:$AJ$22,VLOOKUP($O66,СГИ!$O$3:$P$22,2),HLOOKUP(X$50,СГИ!$Q$1:$AJ$2,2)))=1,CONCATENATE("при измерении ",$O66," ",X$50," не допускается ! "),"")</f>
      </c>
      <c r="Y66" s="587">
        <f>IF(IF(ISNA(INDEX(СГИ!$Q$3:$AJ$22,VLOOKUP($O66,СГИ!$O$3:$P$22,2),HLOOKUP(Y$50,СГИ!$Q$1:$AJ$2,2))),"",INDEX(СГИ!$Q$3:$AJ$22,VLOOKUP($O66,СГИ!$O$3:$P$22,2),HLOOKUP(Y$50,СГИ!$Q$1:$AJ$2,2)))=1,CONCATENATE("при измерении ",$O66," ",Y$50," не допускается ! "),"")</f>
      </c>
      <c r="Z66" s="587">
        <f>IF(IF(ISNA(INDEX(СГИ!$Q$3:$AJ$22,VLOOKUP($O66,СГИ!$O$3:$P$22,2),HLOOKUP(Z$50,СГИ!$Q$1:$AJ$2,2))),"",INDEX(СГИ!$Q$3:$AJ$22,VLOOKUP($O66,СГИ!$O$3:$P$22,2),HLOOKUP(Z$50,СГИ!$Q$1:$AJ$2,2)))=1,CONCATENATE("при измерении ",$O66," ",Z$50," не допускается ! "),"")</f>
      </c>
      <c r="AA66" s="587">
        <f>IF(IF(ISNA(INDEX(СГИ!$Q$3:$AJ$22,VLOOKUP($O66,СГИ!$O$3:$P$22,2),HLOOKUP(AA$50,СГИ!$Q$1:$AJ$2,2))),"",INDEX(СГИ!$Q$3:$AJ$22,VLOOKUP($O66,СГИ!$O$3:$P$22,2),HLOOKUP(AA$50,СГИ!$Q$1:$AJ$2,2)))=1,CONCATENATE("при измерении ",$O66," ",AA$50," не допускается ! "),"")</f>
      </c>
      <c r="AB66" s="587">
        <f>IF(IF(ISNA(INDEX(СГИ!$Q$3:$AJ$22,VLOOKUP($O66,СГИ!$O$3:$P$22,2),HLOOKUP(AB$50,СГИ!$Q$1:$AJ$2,2))),"",INDEX(СГИ!$Q$3:$AJ$22,VLOOKUP($O66,СГИ!$O$3:$P$22,2),HLOOKUP(AB$50,СГИ!$Q$1:$AJ$2,2)))=1,CONCATENATE("при измерении ",$O66," ",AB$50," не допускается ! "),"")</f>
      </c>
      <c r="AC66" s="587">
        <f>IF(IF(ISNA(INDEX(СГИ!$Q$3:$AJ$22,VLOOKUP($O66,СГИ!$O$3:$P$22,2),HLOOKUP(AC$50,СГИ!$Q$1:$AJ$2,2))),"",INDEX(СГИ!$Q$3:$AJ$22,VLOOKUP($O66,СГИ!$O$3:$P$22,2),HLOOKUP(AC$50,СГИ!$Q$1:$AJ$2,2)))=1,CONCATENATE("при измерении ",$O66," ",AC$50," не допускается ! "),"")</f>
      </c>
      <c r="AD66" s="587">
        <f>IF(IF(ISNA(INDEX(СГИ!$Q$3:$AJ$22,VLOOKUP($O66,СГИ!$O$3:$P$22,2),HLOOKUP(AD$50,СГИ!$Q$1:$AJ$2,2))),"",INDEX(СГИ!$Q$3:$AJ$22,VLOOKUP($O66,СГИ!$O$3:$P$22,2),HLOOKUP(AD$50,СГИ!$Q$1:$AJ$2,2)))=1,CONCATENATE("при измерении ",$O66," ",AD$50," не допускается ! "),"")</f>
      </c>
      <c r="AE66" s="587">
        <f>IF(IF(ISNA(INDEX(СГИ!$Q$3:$AJ$22,VLOOKUP($O66,СГИ!$O$3:$P$22,2),HLOOKUP(AE$50,СГИ!$Q$1:$AJ$2,2))),"",INDEX(СГИ!$Q$3:$AJ$22,VLOOKUP($O66,СГИ!$O$3:$P$22,2),HLOOKUP(AE$50,СГИ!$Q$1:$AJ$2,2)))=1,CONCATENATE("при измерении ",$O66," ",AE$50," не допускается ! "),"")</f>
      </c>
      <c r="AF66" s="587">
        <f>IF(IF(ISNA(INDEX(СГИ!$Q$3:$AJ$22,VLOOKUP($O66,СГИ!$O$3:$P$22,2),HLOOKUP(AF$50,СГИ!$Q$1:$AJ$2,2))),"",INDEX(СГИ!$Q$3:$AJ$22,VLOOKUP($O66,СГИ!$O$3:$P$22,2),HLOOKUP(AF$50,СГИ!$Q$1:$AJ$2,2)))=1,CONCATENATE("при измерении ",$O66," ",AF$50," не допускается ! "),"")</f>
      </c>
      <c r="AG66" s="615">
        <f>IF(IF(ISNA(INDEX(СГИ!$Q$3:$AJ$22,VLOOKUP($O66,СГИ!$O$3:$P$22,2),HLOOKUP(AG$50,СГИ!$Q$1:$AJ$2,2))),"",INDEX(СГИ!$Q$3:$AJ$22,VLOOKUP($O66,СГИ!$O$3:$P$22,2),HLOOKUP(AG$50,СГИ!$Q$1:$AJ$2,2)))=1,CONCATENATE("при измерении ",$O66," ",AG$50," не допускается ! "),"")</f>
      </c>
      <c r="AH66" s="1">
        <f t="shared" si="1"/>
      </c>
    </row>
    <row r="67" spans="1:34" ht="33" customHeight="1" thickBot="1">
      <c r="A67" s="891">
        <f>IF('И11-Переносные с вын. БД'!L7="",AJ48,'И11-Переносные с вын. БД'!L7)</f>
        <v>6</v>
      </c>
      <c r="B67" s="838" t="s">
        <v>713</v>
      </c>
      <c r="C67" s="536" t="s">
        <v>708</v>
      </c>
      <c r="E67" s="536" t="s">
        <v>705</v>
      </c>
      <c r="I67" s="1" t="s">
        <v>561</v>
      </c>
      <c r="J67" s="764">
        <f>IF('И11-Переносные с вын. БД'!D23&gt;0,ПГ!D23,"")</f>
      </c>
      <c r="K67" s="767"/>
      <c r="L67" s="771"/>
      <c r="M67" s="196"/>
      <c r="N67" s="561"/>
      <c r="O67" s="618">
        <f>MID('И11-Переносные с вын. БД'!I23,2,9)</f>
      </c>
      <c r="P67" s="619">
        <f>IF(IF(ISNA(INDEX(СГИ!$Q$3:$AJ$22,VLOOKUP($O67,СГИ!$O$3:$P$22,2),HLOOKUP(P$50,СГИ!$Q$1:$AJ$2,2))),"",INDEX(СГИ!$Q$3:$AJ$22,VLOOKUP($O67,СГИ!$O$3:$P$22,2),HLOOKUP(P$50,СГИ!$Q$1:$AJ$2,2)))=1,CONCATENATE("при измерении ",$O67," ",P$50," не допускается ! "),"")</f>
      </c>
      <c r="Q67" s="619">
        <f>IF(IF(ISNA(INDEX(СГИ!$Q$3:$AJ$22,VLOOKUP($O67,СГИ!$O$3:$P$22,2),HLOOKUP(Q$50,СГИ!$Q$1:$AJ$2,2))),"",INDEX(СГИ!$Q$3:$AJ$22,VLOOKUP($O67,СГИ!$O$3:$P$22,2),HLOOKUP(Q$50,СГИ!$Q$1:$AJ$2,2)))=1,CONCATENATE("при измерении ",$O67," ",Q$50," не допускается ! "),"")</f>
      </c>
      <c r="R67" s="619">
        <f>IF(IF(ISNA(INDEX(СГИ!$Q$3:$AJ$22,VLOOKUP($O67,СГИ!$O$3:$P$22,2),HLOOKUP(R$50,СГИ!$Q$1:$AJ$2,2))),"",INDEX(СГИ!$Q$3:$AJ$22,VLOOKUP($O67,СГИ!$O$3:$P$22,2),HLOOKUP(R$50,СГИ!$Q$1:$AJ$2,2)))=1,CONCATENATE("при измерении ",$O67," ",R$50," не допускается ! "),"")</f>
      </c>
      <c r="S67" s="619">
        <f>IF(IF(ISNA(INDEX(СГИ!$Q$3:$AJ$22,VLOOKUP($O67,СГИ!$O$3:$P$22,2),HLOOKUP(S$50,СГИ!$Q$1:$AJ$2,2))),"",INDEX(СГИ!$Q$3:$AJ$22,VLOOKUP($O67,СГИ!$O$3:$P$22,2),HLOOKUP(S$50,СГИ!$Q$1:$AJ$2,2)))=1,CONCATENATE("при измерении ",$O67," ",S$50," не допускается ! "),"")</f>
      </c>
      <c r="T67" s="619">
        <f>IF(IF(ISNA(INDEX(СГИ!$Q$3:$AJ$22,VLOOKUP($O67,СГИ!$O$3:$P$22,2),HLOOKUP(T$50,СГИ!$Q$1:$AJ$2,2))),"",INDEX(СГИ!$Q$3:$AJ$22,VLOOKUP($O67,СГИ!$O$3:$P$22,2),HLOOKUP(T$50,СГИ!$Q$1:$AJ$2,2)))=1,CONCATENATE("при измерении ",$O67," ",T$50," не допускается ! "),"")</f>
      </c>
      <c r="U67" s="619">
        <f>IF(IF(ISNA(INDEX(СГИ!$Q$3:$AJ$22,VLOOKUP($O67,СГИ!$O$3:$P$22,2),HLOOKUP(U$50,СГИ!$Q$1:$AJ$2,2))),"",INDEX(СГИ!$Q$3:$AJ$22,VLOOKUP($O67,СГИ!$O$3:$P$22,2),HLOOKUP(U$50,СГИ!$Q$1:$AJ$2,2)))=1,CONCATENATE("при измерении ",$O67," ",U$50," не допускается ! "),"")</f>
      </c>
      <c r="V67" s="619">
        <f>IF(IF(ISNA(INDEX(СГИ!$Q$3:$AJ$22,VLOOKUP($O67,СГИ!$O$3:$P$22,2),HLOOKUP(V$50,СГИ!$Q$1:$AJ$2,2))),"",INDEX(СГИ!$Q$3:$AJ$22,VLOOKUP($O67,СГИ!$O$3:$P$22,2),HLOOKUP(V$50,СГИ!$Q$1:$AJ$2,2)))=1,CONCATENATE("при измерении ",$O67," ",V$50," не допускается ! "),"")</f>
      </c>
      <c r="W67" s="619">
        <f>IF(IF(ISNA(INDEX(СГИ!$Q$3:$AJ$22,VLOOKUP($O67,СГИ!$O$3:$P$22,2),HLOOKUP(W$50,СГИ!$Q$1:$AJ$2,2))),"",INDEX(СГИ!$Q$3:$AJ$22,VLOOKUP($O67,СГИ!$O$3:$P$22,2),HLOOKUP(W$50,СГИ!$Q$1:$AJ$2,2)))=1,CONCATENATE("при измерении ",$O67," ",W$50," не допускается ! "),"")</f>
      </c>
      <c r="X67" s="619">
        <f>IF(IF(ISNA(INDEX(СГИ!$Q$3:$AJ$22,VLOOKUP($O67,СГИ!$O$3:$P$22,2),HLOOKUP(X$50,СГИ!$Q$1:$AJ$2,2))),"",INDEX(СГИ!$Q$3:$AJ$22,VLOOKUP($O67,СГИ!$O$3:$P$22,2),HLOOKUP(X$50,СГИ!$Q$1:$AJ$2,2)))=1,CONCATENATE("при измерении ",$O67," ",X$50," не допускается ! "),"")</f>
      </c>
      <c r="Y67" s="619">
        <f>IF(IF(ISNA(INDEX(СГИ!$Q$3:$AJ$22,VLOOKUP($O67,СГИ!$O$3:$P$22,2),HLOOKUP(Y$50,СГИ!$Q$1:$AJ$2,2))),"",INDEX(СГИ!$Q$3:$AJ$22,VLOOKUP($O67,СГИ!$O$3:$P$22,2),HLOOKUP(Y$50,СГИ!$Q$1:$AJ$2,2)))=1,CONCATENATE("при измерении ",$O67," ",Y$50," не допускается ! "),"")</f>
      </c>
      <c r="Z67" s="619">
        <f>IF(IF(ISNA(INDEX(СГИ!$Q$3:$AJ$22,VLOOKUP($O67,СГИ!$O$3:$P$22,2),HLOOKUP(Z$50,СГИ!$Q$1:$AJ$2,2))),"",INDEX(СГИ!$Q$3:$AJ$22,VLOOKUP($O67,СГИ!$O$3:$P$22,2),HLOOKUP(Z$50,СГИ!$Q$1:$AJ$2,2)))=1,CONCATENATE("при измерении ",$O67," ",Z$50," не допускается ! "),"")</f>
      </c>
      <c r="AA67" s="619">
        <f>IF(IF(ISNA(INDEX(СГИ!$Q$3:$AJ$22,VLOOKUP($O67,СГИ!$O$3:$P$22,2),HLOOKUP(AA$50,СГИ!$Q$1:$AJ$2,2))),"",INDEX(СГИ!$Q$3:$AJ$22,VLOOKUP($O67,СГИ!$O$3:$P$22,2),HLOOKUP(AA$50,СГИ!$Q$1:$AJ$2,2)))=1,CONCATENATE("при измерении ",$O67," ",AA$50," не допускается ! "),"")</f>
      </c>
      <c r="AB67" s="619">
        <f>IF(IF(ISNA(INDEX(СГИ!$Q$3:$AJ$22,VLOOKUP($O67,СГИ!$O$3:$P$22,2),HLOOKUP(AB$50,СГИ!$Q$1:$AJ$2,2))),"",INDEX(СГИ!$Q$3:$AJ$22,VLOOKUP($O67,СГИ!$O$3:$P$22,2),HLOOKUP(AB$50,СГИ!$Q$1:$AJ$2,2)))=1,CONCATENATE("при измерении ",$O67," ",AB$50," не допускается ! "),"")</f>
      </c>
      <c r="AC67" s="619">
        <f>IF(IF(ISNA(INDEX(СГИ!$Q$3:$AJ$22,VLOOKUP($O67,СГИ!$O$3:$P$22,2),HLOOKUP(AC$50,СГИ!$Q$1:$AJ$2,2))),"",INDEX(СГИ!$Q$3:$AJ$22,VLOOKUP($O67,СГИ!$O$3:$P$22,2),HLOOKUP(AC$50,СГИ!$Q$1:$AJ$2,2)))=1,CONCATENATE("при измерении ",$O67," ",AC$50," не допускается ! "),"")</f>
      </c>
      <c r="AD67" s="619">
        <f>IF(IF(ISNA(INDEX(СГИ!$Q$3:$AJ$22,VLOOKUP($O67,СГИ!$O$3:$P$22,2),HLOOKUP(AD$50,СГИ!$Q$1:$AJ$2,2))),"",INDEX(СГИ!$Q$3:$AJ$22,VLOOKUP($O67,СГИ!$O$3:$P$22,2),HLOOKUP(AD$50,СГИ!$Q$1:$AJ$2,2)))=1,CONCATENATE("при измерении ",$O67," ",AD$50," не допускается ! "),"")</f>
      </c>
      <c r="AE67" s="619">
        <f>IF(IF(ISNA(INDEX(СГИ!$Q$3:$AJ$22,VLOOKUP($O67,СГИ!$O$3:$P$22,2),HLOOKUP(AE$50,СГИ!$Q$1:$AJ$2,2))),"",INDEX(СГИ!$Q$3:$AJ$22,VLOOKUP($O67,СГИ!$O$3:$P$22,2),HLOOKUP(AE$50,СГИ!$Q$1:$AJ$2,2)))=1,CONCATENATE("при измерении ",$O67," ",AE$50," не допускается ! "),"")</f>
      </c>
      <c r="AF67" s="619">
        <f>IF(IF(ISNA(INDEX(СГИ!$Q$3:$AJ$22,VLOOKUP($O67,СГИ!$O$3:$P$22,2),HLOOKUP(AF$50,СГИ!$Q$1:$AJ$2,2))),"",INDEX(СГИ!$Q$3:$AJ$22,VLOOKUP($O67,СГИ!$O$3:$P$22,2),HLOOKUP(AF$50,СГИ!$Q$1:$AJ$2,2)))=1,CONCATENATE("при измерении ",$O67," ",AF$50," не допускается ! "),"")</f>
      </c>
      <c r="AG67" s="620">
        <f>IF(IF(ISNA(INDEX(СГИ!$Q$3:$AJ$22,VLOOKUP($O67,СГИ!$O$3:$P$22,2),HLOOKUP(AG$50,СГИ!$Q$1:$AJ$2,2))),"",INDEX(СГИ!$Q$3:$AJ$22,VLOOKUP($O67,СГИ!$O$3:$P$22,2),HLOOKUP(AG$50,СГИ!$Q$1:$AJ$2,2)))=1,CONCATENATE("при измерении ",$O67," ",AG$50," не допускается ! "),"")</f>
      </c>
      <c r="AH67" s="1">
        <f t="shared" si="1"/>
      </c>
    </row>
    <row r="68" spans="1:35" ht="33" customHeight="1" thickBot="1">
      <c r="A68" s="493" t="str">
        <f>IF('И11-Переносные с вын. БД'!L6=1,AJ50,AJ49)</f>
        <v>-/53</v>
      </c>
      <c r="B68" s="838" t="s">
        <v>661</v>
      </c>
      <c r="C68" s="575" t="str">
        <f>IF('И11-Переносные с вын. БД'!L$6=1,I$67,I$66)</f>
        <v>ЦЕНЫ без взрывозащиты</v>
      </c>
      <c r="E68" s="575">
        <f>IF('И11-Переносные с вын. БД'!$H$6=$I$55,$I$65,"")</f>
      </c>
      <c r="F68" s="1" t="s">
        <v>559</v>
      </c>
      <c r="K68" s="767" t="s">
        <v>571</v>
      </c>
      <c r="L68" s="768">
        <f>SUM(L51:L67)</f>
        <v>0</v>
      </c>
      <c r="M68" s="557"/>
      <c r="N68" s="759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33" customHeight="1" thickBot="1">
      <c r="A69" s="493" t="str">
        <f>AJ51</f>
        <v>/50</v>
      </c>
      <c r="B69" s="838" t="s">
        <v>662</v>
      </c>
      <c r="C69" s="536"/>
      <c r="E69" s="575">
        <f>IF($E$58=$I$60,$I$65,"")</f>
      </c>
      <c r="F69" s="1" t="s">
        <v>553</v>
      </c>
      <c r="K69" s="605" t="s">
        <v>566</v>
      </c>
      <c r="L69" s="765">
        <v>330</v>
      </c>
      <c r="M69" s="758"/>
      <c r="N69" s="758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33" customHeight="1" thickBot="1">
      <c r="A70" s="493" t="str">
        <f>AJ52</f>
        <v>-Д2</v>
      </c>
      <c r="B70" s="838" t="s">
        <v>742</v>
      </c>
      <c r="C70" s="536"/>
      <c r="E70" s="575">
        <f>IF('И11-Переносные с вын. БД'!$H$8=$I$55,$I$65,"")</f>
      </c>
      <c r="F70" s="1" t="s">
        <v>562</v>
      </c>
      <c r="K70" s="605" t="s">
        <v>567</v>
      </c>
      <c r="L70" s="608">
        <v>1100</v>
      </c>
      <c r="M70" s="760"/>
      <c r="N70" s="760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33" customHeight="1" thickBot="1">
      <c r="A71" s="493" t="str">
        <f>AJ53</f>
        <v>Т0</v>
      </c>
      <c r="B71" s="838" t="s">
        <v>736</v>
      </c>
      <c r="C71" s="536"/>
      <c r="I71" s="497"/>
      <c r="K71" s="606" t="s">
        <v>568</v>
      </c>
      <c r="L71" s="609">
        <v>-3000</v>
      </c>
      <c r="M71" s="758"/>
      <c r="N71" s="758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33" customHeight="1">
      <c r="A72" s="493" t="str">
        <f>AJ54</f>
        <v>Ц0</v>
      </c>
      <c r="B72" s="838" t="s">
        <v>735</v>
      </c>
      <c r="C72" s="536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" ht="33" customHeight="1">
      <c r="A73" s="493" t="s">
        <v>734</v>
      </c>
      <c r="B73" s="838" t="s">
        <v>739</v>
      </c>
      <c r="C73" s="536"/>
    </row>
    <row r="74" spans="1:8" ht="33" customHeight="1">
      <c r="A74" s="836" t="str">
        <f>AJ61</f>
        <v>-=A5</v>
      </c>
      <c r="B74" s="838" t="s">
        <v>665</v>
      </c>
      <c r="C74" s="536"/>
      <c r="H74" s="849"/>
    </row>
    <row r="75" spans="1:3" ht="33" customHeight="1" thickBot="1">
      <c r="A75" s="494">
        <f>IF('И11-Переносные с вын. БД'!H8=I56,"-Ex","")</f>
      </c>
      <c r="B75" s="838" t="s">
        <v>666</v>
      </c>
      <c r="C75" s="536"/>
    </row>
    <row r="76" spans="1:3" ht="33" customHeight="1" thickBot="1">
      <c r="A76" s="536" t="s">
        <v>678</v>
      </c>
      <c r="C76" s="536"/>
    </row>
    <row r="77" spans="1:9" ht="33" customHeight="1">
      <c r="A77" s="486">
        <f>IF('И11-Переносные с вын. БД'!J7&gt;0,"92","")</f>
      </c>
      <c r="B77" s="826" t="s">
        <v>714</v>
      </c>
      <c r="I77" s="497"/>
    </row>
    <row r="78" spans="1:2" ht="33" customHeight="1">
      <c r="A78" s="487">
        <f>IF(AND('И11-Переносные с вын. БД'!J24+'И11-Переносные с вын. БД'!J12&gt;0,'И11-Переносные с вын. БД'!J24+'И11-Переносные с вын. БД'!J12&lt;6),"М","")</f>
      </c>
      <c r="B78" s="826" t="s">
        <v>668</v>
      </c>
    </row>
    <row r="79" spans="1:2" ht="33" customHeight="1" thickBot="1">
      <c r="A79" s="877">
        <f>IF('И11-Переносные с вын. БД'!J25&gt;0,IF('И11-Переносные с вын. БД'!J22+'И11-Переносные с вын. БД'!J23&gt;0,"","Т"),"")</f>
      </c>
      <c r="B79" s="826" t="s">
        <v>667</v>
      </c>
    </row>
    <row r="80" spans="1:2" ht="33" customHeight="1">
      <c r="A80" s="834">
        <f>IF(AND('И11-Переносные с вын. БД'!J26='И11-Переносные с вын. БД'!J7,'И11-Переносные с вын. БД'!J26&lt;2),"",'И11-Переносные с вын. БД'!I7)</f>
      </c>
      <c r="B80" s="826" t="s">
        <v>715</v>
      </c>
    </row>
    <row r="81" spans="1:2" ht="33" customHeight="1">
      <c r="A81" s="834" t="str">
        <f>IF('И11-Переносные с вын. БД'!J26='И11-Переносные с вын. БД'!J8,"-H2",'И11-Переносные с вын. БД'!I8)</f>
        <v>-H2</v>
      </c>
      <c r="B81" s="826" t="s">
        <v>716</v>
      </c>
    </row>
    <row r="82" spans="1:2" ht="33" customHeight="1">
      <c r="A82" s="834" t="str">
        <f>IF('И11-Переносные с вын. БД'!J26='И11-Переносные с вын. БД'!J9,"-CH4",'И11-Переносные с вын. БД'!I9)</f>
        <v>-CH4</v>
      </c>
      <c r="B82" s="826" t="s">
        <v>717</v>
      </c>
    </row>
    <row r="83" spans="1:8" ht="33" customHeight="1">
      <c r="A83" s="834" t="str">
        <f>IF('И11-Переносные с вын. БД'!J26='И11-Переносные с вын. БД'!J10,"-C3H8",'И11-Переносные с вын. БД'!I10)</f>
        <v>-C3H8</v>
      </c>
      <c r="B83" s="826" t="s">
        <v>718</v>
      </c>
      <c r="H83" s="849"/>
    </row>
    <row r="84" spans="1:53" s="879" customFormat="1" ht="33" customHeight="1">
      <c r="A84" s="834" t="str">
        <f>IF('И11-Переносные с вын. БД'!J26='И11-Переносные с вын. БД'!J11,"-C6H14",'И11-Переносные с вын. БД'!I11)</f>
        <v>-C6H14</v>
      </c>
      <c r="B84" s="826" t="s">
        <v>719</v>
      </c>
      <c r="H84" s="880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</row>
    <row r="85" spans="1:8" s="879" customFormat="1" ht="33" customHeight="1" thickBot="1">
      <c r="A85" s="835" t="str">
        <f>IF('И11-Переносные с вын. БД'!J26='И11-Переносные с вын. БД'!J12,"-CH4",'И11-Переносные с вын. БД'!I12)</f>
        <v>-CH4</v>
      </c>
      <c r="B85" s="826" t="s">
        <v>720</v>
      </c>
      <c r="H85" s="880"/>
    </row>
    <row r="86" s="879" customFormat="1" ht="33" customHeight="1">
      <c r="H86" s="880"/>
    </row>
    <row r="87" s="879" customFormat="1" ht="33" customHeight="1">
      <c r="H87" s="880"/>
    </row>
    <row r="88" spans="1:8" s="879" customFormat="1" ht="33" customHeight="1">
      <c r="A88" s="1043" t="s">
        <v>911</v>
      </c>
      <c r="H88" s="880"/>
    </row>
    <row r="89" spans="4:9" s="879" customFormat="1" ht="33" customHeight="1">
      <c r="D89" s="540"/>
      <c r="I89" s="880"/>
    </row>
    <row r="90" spans="1:44" s="879" customFormat="1" ht="33" customHeight="1" thickBot="1">
      <c r="A90" s="786" t="s">
        <v>910</v>
      </c>
      <c r="B90" s="1"/>
      <c r="C90" s="1"/>
      <c r="D90" s="1"/>
      <c r="E90" s="1"/>
      <c r="F90" s="1"/>
      <c r="G90" s="1"/>
      <c r="H90" s="815"/>
      <c r="I90" s="882" t="s">
        <v>730</v>
      </c>
      <c r="J90"/>
      <c r="K90" s="1"/>
      <c r="L90" s="1"/>
      <c r="M90" s="1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 t="s">
        <v>755</v>
      </c>
      <c r="AK90"/>
      <c r="AL90"/>
      <c r="AM90"/>
      <c r="AN90"/>
      <c r="AO90"/>
      <c r="AP90"/>
      <c r="AQ90"/>
      <c r="AR90"/>
    </row>
    <row r="91" spans="1:44" s="879" customFormat="1" ht="33" customHeight="1" thickBot="1">
      <c r="A91" s="827" t="s">
        <v>653</v>
      </c>
      <c r="B91" s="840" t="s">
        <v>681</v>
      </c>
      <c r="C91" s="839" t="s">
        <v>677</v>
      </c>
      <c r="D91" s="840" t="s">
        <v>648</v>
      </c>
      <c r="E91" s="839" t="s">
        <v>688</v>
      </c>
      <c r="F91" s="840" t="s">
        <v>648</v>
      </c>
      <c r="G91" s="828" t="s">
        <v>690</v>
      </c>
      <c r="H91" s="845" t="s">
        <v>691</v>
      </c>
      <c r="I91" s="621" t="s">
        <v>307</v>
      </c>
      <c r="J91"/>
      <c r="K9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/>
      <c r="AJ91" s="1"/>
      <c r="AK91" s="1" t="s">
        <v>635</v>
      </c>
      <c r="AL91"/>
      <c r="AM91"/>
      <c r="AN91"/>
      <c r="AO91"/>
      <c r="AP91"/>
      <c r="AQ91"/>
      <c r="AR91"/>
    </row>
    <row r="92" spans="1:44" s="879" customFormat="1" ht="33" customHeight="1" thickBot="1">
      <c r="A92" s="751">
        <f>IF(C92="",A94,C92)</f>
      </c>
      <c r="B92" s="829" t="str">
        <f>CONCATENATE("- ",ADDRESS(6,8,1,1,"перен. с выносн. БД"))</f>
        <v>- 'перен. с выносн. БД'!$H$6</v>
      </c>
      <c r="C92" s="575">
        <f>IF(AND(C94="",C95="",C96=""),"",$I$55)</f>
      </c>
      <c r="D92" s="829" t="str">
        <f>CONCATENATE("- ",ADDRESS(6,8,1,1,"перен. с выносн. БД"))</f>
        <v>- 'перен. с выносн. БД'!$H$6</v>
      </c>
      <c r="E92" s="575" t="str">
        <f>IF(G92="",E94,G92)</f>
        <v>взрывозащита НЕ предусмотрена</v>
      </c>
      <c r="F92" s="829" t="str">
        <f>CONCATENATE("- ",ADDRESS(8,8,1,1,"перен. с выносн. БД"))</f>
        <v>- 'перен. с выносн. БД'!$H$8</v>
      </c>
      <c r="G92" s="575">
        <f>IF(AND(G94="",G95="",G96="",G97="",G98="",G99="",G100=""),"",I100)</f>
      </c>
      <c r="H92" s="846" t="str">
        <f>CONCATENATE("- ",ADDRESS(8,8,1,1,"перен. с выносн. БД"))</f>
        <v>- 'перен. с выносн. БД'!$H$8</v>
      </c>
      <c r="I92" s="771" t="s">
        <v>573</v>
      </c>
      <c r="J9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/>
      <c r="AJ92" s="807" t="s">
        <v>629</v>
      </c>
      <c r="AK92" s="1" t="s">
        <v>630</v>
      </c>
      <c r="AL92"/>
      <c r="AM92"/>
      <c r="AN92"/>
      <c r="AO92"/>
      <c r="AP92"/>
      <c r="AQ92"/>
      <c r="AR92"/>
    </row>
    <row r="93" spans="1:44" s="879" customFormat="1" ht="33" customHeight="1" thickBot="1">
      <c r="A93" s="831" t="s">
        <v>643</v>
      </c>
      <c r="B93" s="1"/>
      <c r="C93" s="832" t="s">
        <v>551</v>
      </c>
      <c r="D93" s="1"/>
      <c r="E93" s="536" t="s">
        <v>725</v>
      </c>
      <c r="F93" s="1"/>
      <c r="G93" s="1"/>
      <c r="H93" s="816" t="s">
        <v>692</v>
      </c>
      <c r="I93" s="576" t="s">
        <v>582</v>
      </c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 s="807">
        <v>6</v>
      </c>
      <c r="AK93" s="1" t="s">
        <v>631</v>
      </c>
      <c r="AL93"/>
      <c r="AM93"/>
      <c r="AN93"/>
      <c r="AO93"/>
      <c r="AP93"/>
      <c r="AQ93"/>
      <c r="AR93"/>
    </row>
    <row r="94" spans="1:44" s="879" customFormat="1" ht="33" customHeight="1" thickBot="1">
      <c r="A94" s="575">
        <f>IF('И11-Переносные с вын. БД'!$J$26&gt;0,CONCATENATE(IF('И11-Переносные с вын. БД'!$H$2="",$A$54,$A$50),A111,CONCATENATE(AJ107,A112,AJ108),A113,A114,A115,A116,A117,A118,A119,A120),"")</f>
      </c>
      <c r="B94" s="512" t="s">
        <v>652</v>
      </c>
      <c r="C94" s="575">
        <f>IF(C105="","",I$55)</f>
      </c>
      <c r="D94" s="826" t="s">
        <v>721</v>
      </c>
      <c r="E94" s="878" t="str">
        <f>IF('И11-Переносные с вын. БД'!L51=1,I101,I102)</f>
        <v>взрывозащита НЕ предусмотрена</v>
      </c>
      <c r="F94" s="1"/>
      <c r="G94" s="575">
        <f>IF(OR('И11-Переносные с вын. БД'!L$6="",'И11-Переносные с вын. БД'!L$6=1),"",$I$55)</f>
      </c>
      <c r="H94" s="847" t="s">
        <v>693</v>
      </c>
      <c r="I94" s="576" t="s">
        <v>583</v>
      </c>
      <c r="J94" s="430" t="s">
        <v>310</v>
      </c>
      <c r="K94" s="603"/>
      <c r="L94" s="621"/>
      <c r="M94" s="196"/>
      <c r="N94" s="758"/>
      <c r="O94" s="1"/>
      <c r="P94" s="580" t="s">
        <v>311</v>
      </c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/>
      <c r="AJ94" s="807" t="s">
        <v>781</v>
      </c>
      <c r="AK94" s="1" t="s">
        <v>636</v>
      </c>
      <c r="AL94"/>
      <c r="AM94"/>
      <c r="AN94"/>
      <c r="AO94"/>
      <c r="AP94"/>
      <c r="AQ94"/>
      <c r="AR94"/>
    </row>
    <row r="95" spans="1:44" s="879" customFormat="1" ht="33" customHeight="1" thickBot="1">
      <c r="A95" s="575" t="str">
        <f>CONCATENATE(A99,IF('И11-Переносные с вын. БД'!H$2=I$46,$A$53,IF('И11-Переносные с вын. БД'!H$2=I$47,A97,"")),'И11-Переносные с вын. БД'!I58,'И11-Переносные с вын. БД'!I59,'И11-Переносные с вын. БД'!I60,'И11-Переносные с вын. БД'!I61,'И11-Переносные с вын. БД'!I62,'И11-Переносные с вын. БД'!I63,'И11-Переносные с вын. БД'!I64,'И11-Переносные с вын. БД'!I65,'И11-Переносные с вын. БД'!I66)</f>
        <v>ОКА-</v>
      </c>
      <c r="B95" s="512" t="s">
        <v>652</v>
      </c>
      <c r="C95" s="575">
        <f>IF(C106="","",I$55)</f>
      </c>
      <c r="D95" s="826" t="s">
        <v>723</v>
      </c>
      <c r="E95" s="536"/>
      <c r="F95" s="1"/>
      <c r="G95" s="575">
        <f>IF(AND('И11-Переносные с вын. БД'!L51=1,'И11-Переносные с вын. БД'!D$8=1),$I$55,"")</f>
      </c>
      <c r="H95" s="847" t="s">
        <v>694</v>
      </c>
      <c r="I95" s="576" t="s">
        <v>545</v>
      </c>
      <c r="J95" s="762" t="s">
        <v>345</v>
      </c>
      <c r="K95" s="603" t="s">
        <v>528</v>
      </c>
      <c r="L95" s="621"/>
      <c r="M95" s="196"/>
      <c r="N95" s="561"/>
      <c r="O95" s="752"/>
      <c r="P95" s="753">
        <f>IF(O96="","",O96)</f>
      </c>
      <c r="Q95" s="753">
        <f>IF(O97="","",O97)</f>
      </c>
      <c r="R95" s="753">
        <f>IF(O98="","",O98)</f>
      </c>
      <c r="S95" s="753">
        <f>IF(O99="","",O99)</f>
      </c>
      <c r="T95" s="753">
        <f>IF(O100="","",O100)</f>
      </c>
      <c r="U95" s="754">
        <f>IF(O101="","",O101)</f>
      </c>
      <c r="V95" s="754">
        <f>IF(O102="","",O102)</f>
      </c>
      <c r="W95" s="754">
        <f>IF(O103="","",O103)</f>
      </c>
      <c r="X95" s="754">
        <f>IF(O104="","",O104)</f>
      </c>
      <c r="Y95" s="754">
        <f>IF(O105="","",O105)</f>
      </c>
      <c r="Z95" s="754">
        <f>IF(O106="","",O106)</f>
      </c>
      <c r="AA95" s="754">
        <f>IF(O107="","",O107)</f>
      </c>
      <c r="AB95" s="754">
        <f>IF(O108="","",O108)</f>
      </c>
      <c r="AC95" s="754">
        <f>IF(O109="","",O109)</f>
      </c>
      <c r="AD95" s="754">
        <f>IF(O110="","",O110)</f>
      </c>
      <c r="AE95" s="754">
        <f>IF(O111="","",O111)</f>
      </c>
      <c r="AF95" s="754">
        <f>IF(O112="","",O112)</f>
      </c>
      <c r="AG95" s="621">
        <f>IF(P113="","",P113)</f>
      </c>
      <c r="AH95" s="585">
        <f>CONCATENATE(AH96,AH97,AH102,AH103,AH104,AH105,AH106,AH107,AH108,AH109,AH110,AH111,AH112,AI113)</f>
      </c>
      <c r="AI95"/>
      <c r="AJ95" s="807" t="s">
        <v>781</v>
      </c>
      <c r="AK95" s="1" t="s">
        <v>754</v>
      </c>
      <c r="AL95"/>
      <c r="AM95"/>
      <c r="AN95"/>
      <c r="AO95"/>
      <c r="AP95"/>
      <c r="AQ95"/>
      <c r="AR95"/>
    </row>
    <row r="96" spans="1:44" s="879" customFormat="1" ht="33" customHeight="1" thickBot="1">
      <c r="A96" s="575">
        <f>IF('И11-Переносные с вын. БД'!H$2=I$46,A97,"")</f>
      </c>
      <c r="B96" s="512" t="s">
        <v>575</v>
      </c>
      <c r="C96" s="575">
        <f>IF(E92=I100,I100,"")</f>
      </c>
      <c r="D96" s="826" t="s">
        <v>724</v>
      </c>
      <c r="E96" s="536"/>
      <c r="F96" s="1"/>
      <c r="G96" s="575">
        <f>IF('И11-Переносные с вын. БД'!L51=1,IF(SUM('И11-Переносные с вын. БД'!D54:D56)&lt;2,"",I100),"")</f>
      </c>
      <c r="H96" s="847" t="s">
        <v>709</v>
      </c>
      <c r="I96" s="576" t="s">
        <v>581</v>
      </c>
      <c r="J96" s="763">
        <f>IF('И11-Переносные с вын. БД'!D52&gt;0,IF('И11-Переносные с вын. БД'!H47=сообщения!I92,ПГ!D52,ПГ!E52),"")</f>
      </c>
      <c r="K96" s="769" t="s">
        <v>521</v>
      </c>
      <c r="L96" s="770">
        <f>MAX(J96:J112)</f>
        <v>0</v>
      </c>
      <c r="M96" s="557"/>
      <c r="N96" s="557"/>
      <c r="O96" s="755">
        <f>MID('И11-Переносные с вын. БД'!I52,2,9)</f>
      </c>
      <c r="P96" s="756">
        <f>IF(IF(ISNA(INDEX(СГИ!$Q$3:$AJ$22,VLOOKUP($O96,СГИ!$O$3:$P$22,2),HLOOKUP(P$50,СГИ!$Q$1:$AJ$2,2))),"",INDEX(СГИ!$Q$3:$AJ$22,VLOOKUP($O96,СГИ!$O$3:$P$22,2),HLOOKUP(P$50,СГИ!$Q$1:$AJ$2,2)))=1,CONCATENATE("при измерении ",$O96," ",P$50," не допускается ! "),"")</f>
      </c>
      <c r="Q96" s="756">
        <f>IF(IF(ISNA(INDEX(СГИ!$Q$3:$AJ$22,VLOOKUP($O96,СГИ!$O$3:$P$22,2),HLOOKUP(Q$50,СГИ!$Q$1:$AJ$2,2))),"",INDEX(СГИ!$Q$3:$AJ$22,VLOOKUP($O96,СГИ!$O$3:$P$22,2),HLOOKUP(Q$50,СГИ!$Q$1:$AJ$2,2)))=1,CONCATENATE("при измерении ",$O96," ",Q$50," не допускается ! "),"")</f>
      </c>
      <c r="R96" s="756">
        <f>IF(IF(ISNA(INDEX(СГИ!$Q$3:$AJ$22,VLOOKUP($O96,СГИ!$O$3:$P$22,2),HLOOKUP(R$50,СГИ!$Q$1:$AJ$2,2))),"",INDEX(СГИ!$Q$3:$AJ$22,VLOOKUP($O96,СГИ!$O$3:$P$22,2),HLOOKUP(R$50,СГИ!$Q$1:$AJ$2,2)))=1,CONCATENATE("при измерении ",$O96," ",R$50," не допускается ! "),"")</f>
      </c>
      <c r="S96" s="756">
        <f>IF(IF(ISNA(INDEX(СГИ!$Q$3:$AJ$22,VLOOKUP($O96,СГИ!$O$3:$P$22,2),HLOOKUP(S$50,СГИ!$Q$1:$AJ$2,2))),"",INDEX(СГИ!$Q$3:$AJ$22,VLOOKUP($O96,СГИ!$O$3:$P$22,2),HLOOKUP(S$50,СГИ!$Q$1:$AJ$2,2)))=1,CONCATENATE("при измерении ",$O96," ",S$50," не допускается ! "),"")</f>
      </c>
      <c r="T96" s="756">
        <f>IF(IF(ISNA(INDEX(СГИ!$Q$3:$AJ$22,VLOOKUP($O96,СГИ!$O$3:$P$22,2),HLOOKUP(T$50,СГИ!$Q$1:$AJ$2,2))),"",INDEX(СГИ!$Q$3:$AJ$22,VLOOKUP($O96,СГИ!$O$3:$P$22,2),HLOOKUP(T$50,СГИ!$Q$1:$AJ$2,2)))=1,CONCATENATE("при измерении ",$O96," ",T$50," не допускается ! "),"")</f>
      </c>
      <c r="U96" s="756">
        <f>IF(IF(ISNA(INDEX(СГИ!$Q$3:$AJ$22,VLOOKUP($O96,СГИ!$O$3:$P$22,2),HLOOKUP(U$50,СГИ!$Q$1:$AJ$2,2))),"",INDEX(СГИ!$Q$3:$AJ$22,VLOOKUP($O96,СГИ!$O$3:$P$22,2),HLOOKUP(U$50,СГИ!$Q$1:$AJ$2,2)))=1,CONCATENATE("при измерении ",$O96," ",U$50," не допускается ! "),"")</f>
      </c>
      <c r="V96" s="756">
        <f>IF(IF(ISNA(INDEX(СГИ!$Q$3:$AJ$22,VLOOKUP($O96,СГИ!$O$3:$P$22,2),HLOOKUP(V$50,СГИ!$Q$1:$AJ$2,2))),"",INDEX(СГИ!$Q$3:$AJ$22,VLOOKUP($O96,СГИ!$O$3:$P$22,2),HLOOKUP(V$50,СГИ!$Q$1:$AJ$2,2)))=1,CONCATENATE("при измерении ",$O96," ",V$50," не допускается ! "),"")</f>
      </c>
      <c r="W96" s="756">
        <f>IF(IF(ISNA(INDEX(СГИ!$Q$3:$AJ$22,VLOOKUP($O96,СГИ!$O$3:$P$22,2),HLOOKUP(W$50,СГИ!$Q$1:$AJ$2,2))),"",INDEX(СГИ!$Q$3:$AJ$22,VLOOKUP($O96,СГИ!$O$3:$P$22,2),HLOOKUP(W$50,СГИ!$Q$1:$AJ$2,2)))=1,CONCATENATE("при измерении ",$O96," ",W$50," не допускается ! "),"")</f>
      </c>
      <c r="X96" s="756">
        <f>IF(IF(ISNA(INDEX(СГИ!$Q$3:$AJ$22,VLOOKUP($O96,СГИ!$O$3:$P$22,2),HLOOKUP(X$50,СГИ!$Q$1:$AJ$2,2))),"",INDEX(СГИ!$Q$3:$AJ$22,VLOOKUP($O96,СГИ!$O$3:$P$22,2),HLOOKUP(X$50,СГИ!$Q$1:$AJ$2,2)))=1,CONCATENATE("при измерении ",$O96," ",X$50," не допускается ! "),"")</f>
      </c>
      <c r="Y96" s="756">
        <f>IF(IF(ISNA(INDEX(СГИ!$Q$3:$AJ$22,VLOOKUP($O96,СГИ!$O$3:$P$22,2),HLOOKUP(Y$50,СГИ!$Q$1:$AJ$2,2))),"",INDEX(СГИ!$Q$3:$AJ$22,VLOOKUP($O96,СГИ!$O$3:$P$22,2),HLOOKUP(Y$50,СГИ!$Q$1:$AJ$2,2)))=1,CONCATENATE("при измерении ",$O96," ",Y$50," не допускается ! "),"")</f>
      </c>
      <c r="Z96" s="756">
        <f>IF(IF(ISNA(INDEX(СГИ!$Q$3:$AJ$22,VLOOKUP($O96,СГИ!$O$3:$P$22,2),HLOOKUP(Z$50,СГИ!$Q$1:$AJ$2,2))),"",INDEX(СГИ!$Q$3:$AJ$22,VLOOKUP($O96,СГИ!$O$3:$P$22,2),HLOOKUP(Z$50,СГИ!$Q$1:$AJ$2,2)))=1,CONCATENATE("при измерении ",$O96," ",Z$50," не допускается ! "),"")</f>
      </c>
      <c r="AA96" s="756">
        <f>IF(IF(ISNA(INDEX(СГИ!$Q$3:$AJ$22,VLOOKUP($O96,СГИ!$O$3:$P$22,2),HLOOKUP(AA$50,СГИ!$Q$1:$AJ$2,2))),"",INDEX(СГИ!$Q$3:$AJ$22,VLOOKUP($O96,СГИ!$O$3:$P$22,2),HLOOKUP(AA$50,СГИ!$Q$1:$AJ$2,2)))=1,CONCATENATE("при измерении ",$O96," ",AA$50," не допускается ! "),"")</f>
      </c>
      <c r="AB96" s="756">
        <f>IF(IF(ISNA(INDEX(СГИ!$Q$3:$AJ$22,VLOOKUP($O96,СГИ!$O$3:$P$22,2),HLOOKUP(AB$50,СГИ!$Q$1:$AJ$2,2))),"",INDEX(СГИ!$Q$3:$AJ$22,VLOOKUP($O96,СГИ!$O$3:$P$22,2),HLOOKUP(AB$50,СГИ!$Q$1:$AJ$2,2)))=1,CONCATENATE("при измерении ",$O96," ",AB$50," не допускается ! "),"")</f>
      </c>
      <c r="AC96" s="756">
        <f>IF(IF(ISNA(INDEX(СГИ!$Q$3:$AJ$22,VLOOKUP($O96,СГИ!$O$3:$P$22,2),HLOOKUP(AC$50,СГИ!$Q$1:$AJ$2,2))),"",INDEX(СГИ!$Q$3:$AJ$22,VLOOKUP($O96,СГИ!$O$3:$P$22,2),HLOOKUP(AC$50,СГИ!$Q$1:$AJ$2,2)))=1,CONCATENATE("при измерении ",$O96," ",AC$50," не допускается ! "),"")</f>
      </c>
      <c r="AD96" s="756">
        <f>IF(IF(ISNA(INDEX(СГИ!$Q$3:$AJ$22,VLOOKUP($O96,СГИ!$O$3:$P$22,2),HLOOKUP(AD$50,СГИ!$Q$1:$AJ$2,2))),"",INDEX(СГИ!$Q$3:$AJ$22,VLOOKUP($O96,СГИ!$O$3:$P$22,2),HLOOKUP(AD$50,СГИ!$Q$1:$AJ$2,2)))=1,CONCATENATE("при измерении ",$O96," ",AD$50," не допускается ! "),"")</f>
      </c>
      <c r="AE96" s="756">
        <f>IF(IF(ISNA(INDEX(СГИ!$Q$3:$AJ$22,VLOOKUP($O96,СГИ!$O$3:$P$22,2),HLOOKUP(AE$50,СГИ!$Q$1:$AJ$2,2))),"",INDEX(СГИ!$Q$3:$AJ$22,VLOOKUP($O96,СГИ!$O$3:$P$22,2),HLOOKUP(AE$50,СГИ!$Q$1:$AJ$2,2)))=1,CONCATENATE("при измерении ",$O96," ",AE$50," не допускается ! "),"")</f>
      </c>
      <c r="AF96" s="756">
        <f>IF(IF(ISNA(INDEX(СГИ!$Q$3:$AJ$22,VLOOKUP($O96,СГИ!$O$3:$P$22,2),HLOOKUP(AF$50,СГИ!$Q$1:$AJ$2,2))),"",INDEX(СГИ!$Q$3:$AJ$22,VLOOKUP($O96,СГИ!$O$3:$P$22,2),HLOOKUP(AF$50,СГИ!$Q$1:$AJ$2,2)))=1,CONCATENATE("при измерении ",$O96," ",AF$50," не допускается ! "),"")</f>
      </c>
      <c r="AG96" s="757">
        <f>IF(IF(ISNA(INDEX(СГИ!$Q$3:$AJ$22,VLOOKUP($O96,СГИ!$O$3:$P$22,2),HLOOKUP(AG$50,СГИ!$Q$1:$AJ$2,2))),"",INDEX(СГИ!$Q$3:$AJ$22,VLOOKUP($O96,СГИ!$O$3:$P$22,2),HLOOKUP(AG$50,СГИ!$Q$1:$AJ$2,2)))=1,CONCATENATE("при измерении ",$O96," ",AG$50," не допускается ! "),"")</f>
      </c>
      <c r="AH96" s="1">
        <f aca="true" t="shared" si="2" ref="AH96:AH112">CONCATENATE(P96,Q96,R96,S96,T96,U96,V96,W96,X96,Y96,Z96,AA96,AB96,AC96,AD96,AE96,AF96,AG96)</f>
      </c>
      <c r="AI96"/>
      <c r="AJ96" s="804" t="s">
        <v>618</v>
      </c>
      <c r="AK96" s="1" t="s">
        <v>620</v>
      </c>
      <c r="AL96"/>
      <c r="AM96"/>
      <c r="AN96"/>
      <c r="AO96"/>
      <c r="AP96"/>
      <c r="AQ96"/>
      <c r="AR96"/>
    </row>
    <row r="97" spans="1:53" ht="33" customHeight="1" thickBot="1">
      <c r="A97" s="575">
        <f>IF('И11-Переносные с вын. БД'!$H47=I$47,CONCATENATE(A122,A123,A124,A125,A126,A127,A128,A129,A130),"")</f>
      </c>
      <c r="B97" s="512" t="s">
        <v>576</v>
      </c>
      <c r="E97" s="536"/>
      <c r="G97" s="575">
        <f>IF(AND('И11-Переносные с вын. БД'!L51=1,SUM('И11-Переносные с вын. БД'!D54:D56)=1),IF(SUM('И11-Переносные с вын. БД'!D59:D68)&lt;2,"",I100),"")</f>
      </c>
      <c r="H97" s="847" t="s">
        <v>710</v>
      </c>
      <c r="I97" s="576" t="s">
        <v>580</v>
      </c>
      <c r="J97" s="763">
        <f>IF('И11-Переносные с вын. БД'!D53&gt;0,ПГ!D53,"")</f>
      </c>
      <c r="K97" s="766" t="s">
        <v>531</v>
      </c>
      <c r="L97" s="749">
        <f>SUMPRODUCT('И11-Переносные с вын. БД'!J52:J68,IF('И11-Переносные с вын. БД'!H47=сообщения!I92,ПГ!B$7:B$23,ПГ!C$7:C$23))</f>
        <v>0</v>
      </c>
      <c r="M97" s="557"/>
      <c r="N97" s="561"/>
      <c r="O97" s="614">
        <f>MID('И11-Переносные с вын. БД'!I53,2,9)</f>
      </c>
      <c r="P97" s="587">
        <f>IF(IF(ISNA(INDEX(СГИ!$Q$3:$AJ$22,VLOOKUP($O97,СГИ!$O$3:$P$22,2),HLOOKUP(P$50,СГИ!$Q$1:$AJ$2,2))),"",INDEX(СГИ!$Q$3:$AJ$22,VLOOKUP($O97,СГИ!$O$3:$P$22,2),HLOOKUP(P$50,СГИ!$Q$1:$AJ$2,2)))=1,CONCATENATE("при измерении ",$O97," ",P$50," не допускается ! "),"")</f>
      </c>
      <c r="Q97" s="587">
        <f>IF(IF(ISNA(INDEX(СГИ!$Q$3:$AJ$22,VLOOKUP($O97,СГИ!$O$3:$P$22,2),HLOOKUP(Q$50,СГИ!$Q$1:$AJ$2,2))),"",INDEX(СГИ!$Q$3:$AJ$22,VLOOKUP($O97,СГИ!$O$3:$P$22,2),HLOOKUP(Q$50,СГИ!$Q$1:$AJ$2,2)))=1,CONCATENATE("при измерении ",$O97," ",Q$50," не допускается ! "),"")</f>
      </c>
      <c r="R97" s="587">
        <f>IF(IF(ISNA(INDEX(СГИ!$Q$3:$AJ$22,VLOOKUP($O97,СГИ!$O$3:$P$22,2),HLOOKUP(R$50,СГИ!$Q$1:$AJ$2,2))),"",INDEX(СГИ!$Q$3:$AJ$22,VLOOKUP($O97,СГИ!$O$3:$P$22,2),HLOOKUP(R$50,СГИ!$Q$1:$AJ$2,2)))=1,CONCATENATE("при измерении ",$O97," ",R$50," не допускается ! "),"")</f>
      </c>
      <c r="S97" s="587">
        <f>IF(IF(ISNA(INDEX(СГИ!$Q$3:$AJ$22,VLOOKUP($O97,СГИ!$O$3:$P$22,2),HLOOKUP(S$50,СГИ!$Q$1:$AJ$2,2))),"",INDEX(СГИ!$Q$3:$AJ$22,VLOOKUP($O97,СГИ!$O$3:$P$22,2),HLOOKUP(S$50,СГИ!$Q$1:$AJ$2,2)))=1,CONCATENATE("при измерении ",$O97," ",S$50," не допускается ! "),"")</f>
      </c>
      <c r="T97" s="587">
        <f>IF(IF(ISNA(INDEX(СГИ!$Q$3:$AJ$22,VLOOKUP($O97,СГИ!$O$3:$P$22,2),HLOOKUP(T$50,СГИ!$Q$1:$AJ$2,2))),"",INDEX(СГИ!$Q$3:$AJ$22,VLOOKUP($O97,СГИ!$O$3:$P$22,2),HLOOKUP(T$50,СГИ!$Q$1:$AJ$2,2)))=1,CONCATENATE("при измерении ",$O97," ",T$50," не допускается ! "),"")</f>
      </c>
      <c r="U97" s="587">
        <f>IF(IF(ISNA(INDEX(СГИ!$Q$3:$AJ$22,VLOOKUP($O97,СГИ!$O$3:$P$22,2),HLOOKUP(U$50,СГИ!$Q$1:$AJ$2,2))),"",INDEX(СГИ!$Q$3:$AJ$22,VLOOKUP($O97,СГИ!$O$3:$P$22,2),HLOOKUP(U$50,СГИ!$Q$1:$AJ$2,2)))=1,CONCATENATE("при измерении ",$O97," ",U$50," не допускается ! "),"")</f>
      </c>
      <c r="V97" s="587">
        <f>IF(IF(ISNA(INDEX(СГИ!$Q$3:$AJ$22,VLOOKUP($O97,СГИ!$O$3:$P$22,2),HLOOKUP(V$50,СГИ!$Q$1:$AJ$2,2))),"",INDEX(СГИ!$Q$3:$AJ$22,VLOOKUP($O97,СГИ!$O$3:$P$22,2),HLOOKUP(V$50,СГИ!$Q$1:$AJ$2,2)))=1,CONCATENATE("при измерении ",$O97," ",V$50," не допускается ! "),"")</f>
      </c>
      <c r="W97" s="587">
        <f>IF(IF(ISNA(INDEX(СГИ!$Q$3:$AJ$22,VLOOKUP($O97,СГИ!$O$3:$P$22,2),HLOOKUP(W$50,СГИ!$Q$1:$AJ$2,2))),"",INDEX(СГИ!$Q$3:$AJ$22,VLOOKUP($O97,СГИ!$O$3:$P$22,2),HLOOKUP(W$50,СГИ!$Q$1:$AJ$2,2)))=1,CONCATENATE("при измерении ",$O97," ",W$50," не допускается ! "),"")</f>
      </c>
      <c r="X97" s="587">
        <f>IF(IF(ISNA(INDEX(СГИ!$Q$3:$AJ$22,VLOOKUP($O97,СГИ!$O$3:$P$22,2),HLOOKUP(X$50,СГИ!$Q$1:$AJ$2,2))),"",INDEX(СГИ!$Q$3:$AJ$22,VLOOKUP($O97,СГИ!$O$3:$P$22,2),HLOOKUP(X$50,СГИ!$Q$1:$AJ$2,2)))=1,CONCATENATE("при измерении ",$O97," ",X$50," не допускается ! "),"")</f>
      </c>
      <c r="Y97" s="587">
        <f>IF(IF(ISNA(INDEX(СГИ!$Q$3:$AJ$22,VLOOKUP($O97,СГИ!$O$3:$P$22,2),HLOOKUP(Y$50,СГИ!$Q$1:$AJ$2,2))),"",INDEX(СГИ!$Q$3:$AJ$22,VLOOKUP($O97,СГИ!$O$3:$P$22,2),HLOOKUP(Y$50,СГИ!$Q$1:$AJ$2,2)))=1,CONCATENATE("при измерении ",$O97," ",Y$50," не допускается ! "),"")</f>
      </c>
      <c r="Z97" s="587">
        <f>IF(IF(ISNA(INDEX(СГИ!$Q$3:$AJ$22,VLOOKUP($O97,СГИ!$O$3:$P$22,2),HLOOKUP(Z$50,СГИ!$Q$1:$AJ$2,2))),"",INDEX(СГИ!$Q$3:$AJ$22,VLOOKUP($O97,СГИ!$O$3:$P$22,2),HLOOKUP(Z$50,СГИ!$Q$1:$AJ$2,2)))=1,CONCATENATE("при измерении ",$O97," ",Z$50," не допускается ! "),"")</f>
      </c>
      <c r="AA97" s="587">
        <f>IF(IF(ISNA(INDEX(СГИ!$Q$3:$AJ$22,VLOOKUP($O97,СГИ!$O$3:$P$22,2),HLOOKUP(AA$50,СГИ!$Q$1:$AJ$2,2))),"",INDEX(СГИ!$Q$3:$AJ$22,VLOOKUP($O97,СГИ!$O$3:$P$22,2),HLOOKUP(AA$50,СГИ!$Q$1:$AJ$2,2)))=1,CONCATENATE("при измерении ",$O97," ",AA$50," не допускается ! "),"")</f>
      </c>
      <c r="AB97" s="587">
        <f>IF(IF(ISNA(INDEX(СГИ!$Q$3:$AJ$22,VLOOKUP($O97,СГИ!$O$3:$P$22,2),HLOOKUP(AB$50,СГИ!$Q$1:$AJ$2,2))),"",INDEX(СГИ!$Q$3:$AJ$22,VLOOKUP($O97,СГИ!$O$3:$P$22,2),HLOOKUP(AB$50,СГИ!$Q$1:$AJ$2,2)))=1,CONCATENATE("при измерении ",$O97," ",AB$50," не допускается ! "),"")</f>
      </c>
      <c r="AC97" s="587">
        <f>IF(IF(ISNA(INDEX(СГИ!$Q$3:$AJ$22,VLOOKUP($O97,СГИ!$O$3:$P$22,2),HLOOKUP(AC$50,СГИ!$Q$1:$AJ$2,2))),"",INDEX(СГИ!$Q$3:$AJ$22,VLOOKUP($O97,СГИ!$O$3:$P$22,2),HLOOKUP(AC$50,СГИ!$Q$1:$AJ$2,2)))=1,CONCATENATE("при измерении ",$O97," ",AC$50," не допускается ! "),"")</f>
      </c>
      <c r="AD97" s="587">
        <f>IF(IF(ISNA(INDEX(СГИ!$Q$3:$AJ$22,VLOOKUP($O97,СГИ!$O$3:$P$22,2),HLOOKUP(AD$50,СГИ!$Q$1:$AJ$2,2))),"",INDEX(СГИ!$Q$3:$AJ$22,VLOOKUP($O97,СГИ!$O$3:$P$22,2),HLOOKUP(AD$50,СГИ!$Q$1:$AJ$2,2)))=1,CONCATENATE("при измерении ",$O97," ",AD$50," не допускается ! "),"")</f>
      </c>
      <c r="AE97" s="587">
        <f>IF(IF(ISNA(INDEX(СГИ!$Q$3:$AJ$22,VLOOKUP($O97,СГИ!$O$3:$P$22,2),HLOOKUP(AE$50,СГИ!$Q$1:$AJ$2,2))),"",INDEX(СГИ!$Q$3:$AJ$22,VLOOKUP($O97,СГИ!$O$3:$P$22,2),HLOOKUP(AE$50,СГИ!$Q$1:$AJ$2,2)))=1,CONCATENATE("при измерении ",$O97," ",AE$50," не допускается ! "),"")</f>
      </c>
      <c r="AF97" s="587">
        <f>IF(IF(ISNA(INDEX(СГИ!$Q$3:$AJ$22,VLOOKUP($O97,СГИ!$O$3:$P$22,2),HLOOKUP(AF$50,СГИ!$Q$1:$AJ$2,2))),"",INDEX(СГИ!$Q$3:$AJ$22,VLOOKUP($O97,СГИ!$O$3:$P$22,2),HLOOKUP(AF$50,СГИ!$Q$1:$AJ$2,2)))=1,CONCATENATE("при измерении ",$O97," ",AF$50," не допускается ! "),"")</f>
      </c>
      <c r="AG97" s="615">
        <f>IF(IF(ISNA(INDEX(СГИ!$Q$3:$AJ$22,VLOOKUP($O97,СГИ!$O$3:$P$22,2),HLOOKUP(AG$50,СГИ!$Q$1:$AJ$2,2))),"",INDEX(СГИ!$Q$3:$AJ$22,VLOOKUP($O97,СГИ!$O$3:$P$22,2),HLOOKUP(AG$50,СГИ!$Q$1:$AJ$2,2)))=1,CONCATENATE("при измерении ",$O97," ",AG$50," не допускается ! "),"")</f>
      </c>
      <c r="AH97" s="1">
        <f t="shared" si="2"/>
      </c>
      <c r="AJ97" s="807" t="s">
        <v>605</v>
      </c>
      <c r="AK97" s="1" t="s">
        <v>600</v>
      </c>
      <c r="AS97" s="879"/>
      <c r="AT97" s="879"/>
      <c r="AU97" s="879"/>
      <c r="AV97" s="879"/>
      <c r="AW97" s="879"/>
      <c r="AX97" s="879"/>
      <c r="AY97" s="879"/>
      <c r="AZ97" s="879"/>
      <c r="BA97" s="879"/>
    </row>
    <row r="98" spans="1:37" ht="33" customHeight="1" thickBot="1">
      <c r="A98" s="575">
        <f>CONCATENATE('И11-Переносные с вын. БД'!I52,'И11-Переносные с вын. БД'!I53,'И11-Переносные с вын. БД'!I54,'И11-Переносные с вын. БД'!I55,'И11-Переносные с вын. БД'!I56,'И11-Переносные с вын. БД'!I57)</f>
      </c>
      <c r="B98" s="512" t="s">
        <v>575</v>
      </c>
      <c r="E98" s="536"/>
      <c r="G98" s="575">
        <f>IF(AND('И11-Переносные с вын. БД'!L51=1,SUM('И11-Переносные с вын. БД'!D54:D56)=1),IF(SUM('И11-Переносные с вын. БД'!D57:D58)&lt;1,"",I109),"")</f>
      </c>
      <c r="H98" s="847" t="s">
        <v>711</v>
      </c>
      <c r="I98" s="576" t="s">
        <v>547</v>
      </c>
      <c r="J98" s="763">
        <f>IF('И11-Переносные с вын. БД'!D54&gt;0,ПГ!D54,"")</f>
      </c>
      <c r="K98" s="766" t="s">
        <v>529</v>
      </c>
      <c r="L98" s="749">
        <f>IF('И11-Переносные с вын. БД'!J71=3,1575,0)</f>
        <v>0</v>
      </c>
      <c r="M98" s="536">
        <v>1575</v>
      </c>
      <c r="N98" s="561"/>
      <c r="O98" s="614">
        <f>MID('И11-Переносные с вын. БД'!I54,2,9)</f>
      </c>
      <c r="P98" s="587">
        <f>IF(IF(ISNA(INDEX(СГИ!$Q$3:$AJ$22,VLOOKUP($O98,СГИ!$O$3:$P$22,2),HLOOKUP(P$50,СГИ!$Q$1:$AJ$2,2))),"",INDEX(СГИ!$Q$3:$AJ$22,VLOOKUP($O98,СГИ!$O$3:$P$22,2),HLOOKUP(P$50,СГИ!$Q$1:$AJ$2,2)))=1,CONCATENATE("при измерении ",$O98," ",P$50," не допускается ! "),"")</f>
      </c>
      <c r="Q98" s="587">
        <f>IF(IF(ISNA(INDEX(СГИ!$Q$3:$AJ$22,VLOOKUP($O98,СГИ!$O$3:$P$22,2),HLOOKUP(Q$50,СГИ!$Q$1:$AJ$2,2))),"",INDEX(СГИ!$Q$3:$AJ$22,VLOOKUP($O98,СГИ!$O$3:$P$22,2),HLOOKUP(Q$50,СГИ!$Q$1:$AJ$2,2)))=1,CONCATENATE("при измерении ",$O98," ",Q$50," не допускается ! "),"")</f>
      </c>
      <c r="R98" s="587">
        <f>IF(IF(ISNA(INDEX(СГИ!$Q$3:$AJ$22,VLOOKUP($O98,СГИ!$O$3:$P$22,2),HLOOKUP(R$50,СГИ!$Q$1:$AJ$2,2))),"",INDEX(СГИ!$Q$3:$AJ$22,VLOOKUP($O98,СГИ!$O$3:$P$22,2),HLOOKUP(R$50,СГИ!$Q$1:$AJ$2,2)))=1,CONCATENATE("при измерении ",$O98," ",R$50," не допускается ! "),"")</f>
      </c>
      <c r="S98" s="587">
        <f>IF(IF(ISNA(INDEX(СГИ!$Q$3:$AJ$22,VLOOKUP($O98,СГИ!$O$3:$P$22,2),HLOOKUP(S$50,СГИ!$Q$1:$AJ$2,2))),"",INDEX(СГИ!$Q$3:$AJ$22,VLOOKUP($O98,СГИ!$O$3:$P$22,2),HLOOKUP(S$50,СГИ!$Q$1:$AJ$2,2)))=1,CONCATENATE("при измерении ",$O98," ",S$50," не допускается ! "),"")</f>
      </c>
      <c r="T98" s="587">
        <f>IF(IF(ISNA(INDEX(СГИ!$Q$3:$AJ$22,VLOOKUP($O98,СГИ!$O$3:$P$22,2),HLOOKUP(T$50,СГИ!$Q$1:$AJ$2,2))),"",INDEX(СГИ!$Q$3:$AJ$22,VLOOKUP($O98,СГИ!$O$3:$P$22,2),HLOOKUP(T$50,СГИ!$Q$1:$AJ$2,2)))=1,CONCATENATE("при измерении ",$O98," ",T$50," не допускается ! "),"")</f>
      </c>
      <c r="U98" s="587">
        <f>IF(IF(ISNA(INDEX(СГИ!$Q$3:$AJ$22,VLOOKUP($O98,СГИ!$O$3:$P$22,2),HLOOKUP(U$50,СГИ!$Q$1:$AJ$2,2))),"",INDEX(СГИ!$Q$3:$AJ$22,VLOOKUP($O98,СГИ!$O$3:$P$22,2),HLOOKUP(U$50,СГИ!$Q$1:$AJ$2,2)))=1,CONCATENATE("при измерении ",$O98," ",U$50," не допускается ! "),"")</f>
      </c>
      <c r="V98" s="587">
        <f>IF(IF(ISNA(INDEX(СГИ!$Q$3:$AJ$22,VLOOKUP($O98,СГИ!$O$3:$P$22,2),HLOOKUP(V$50,СГИ!$Q$1:$AJ$2,2))),"",INDEX(СГИ!$Q$3:$AJ$22,VLOOKUP($O98,СГИ!$O$3:$P$22,2),HLOOKUP(V$50,СГИ!$Q$1:$AJ$2,2)))=1,CONCATENATE("при измерении ",$O98," ",V$50," не допускается ! "),"")</f>
      </c>
      <c r="W98" s="587">
        <f>IF(IF(ISNA(INDEX(СГИ!$Q$3:$AJ$22,VLOOKUP($O98,СГИ!$O$3:$P$22,2),HLOOKUP(W$50,СГИ!$Q$1:$AJ$2,2))),"",INDEX(СГИ!$Q$3:$AJ$22,VLOOKUP($O98,СГИ!$O$3:$P$22,2),HLOOKUP(W$50,СГИ!$Q$1:$AJ$2,2)))=1,CONCATENATE("при измерении ",$O98," ",W$50," не допускается ! "),"")</f>
      </c>
      <c r="X98" s="587">
        <f>IF(IF(ISNA(INDEX(СГИ!$Q$3:$AJ$22,VLOOKUP($O98,СГИ!$O$3:$P$22,2),HLOOKUP(X$50,СГИ!$Q$1:$AJ$2,2))),"",INDEX(СГИ!$Q$3:$AJ$22,VLOOKUP($O98,СГИ!$O$3:$P$22,2),HLOOKUP(X$50,СГИ!$Q$1:$AJ$2,2)))=1,CONCATENATE("при измерении ",$O98," ",X$50," не допускается ! "),"")</f>
      </c>
      <c r="Y98" s="587">
        <f>IF(IF(ISNA(INDEX(СГИ!$Q$3:$AJ$22,VLOOKUP($O98,СГИ!$O$3:$P$22,2),HLOOKUP(Y$50,СГИ!$Q$1:$AJ$2,2))),"",INDEX(СГИ!$Q$3:$AJ$22,VLOOKUP($O98,СГИ!$O$3:$P$22,2),HLOOKUP(Y$50,СГИ!$Q$1:$AJ$2,2)))=1,CONCATENATE("при измерении ",$O98," ",Y$50," не допускается ! "),"")</f>
      </c>
      <c r="Z98" s="587">
        <f>IF(IF(ISNA(INDEX(СГИ!$Q$3:$AJ$22,VLOOKUP($O98,СГИ!$O$3:$P$22,2),HLOOKUP(Z$50,СГИ!$Q$1:$AJ$2,2))),"",INDEX(СГИ!$Q$3:$AJ$22,VLOOKUP($O98,СГИ!$O$3:$P$22,2),HLOOKUP(Z$50,СГИ!$Q$1:$AJ$2,2)))=1,CONCATENATE("при измерении ",$O98," ",Z$50," не допускается ! "),"")</f>
      </c>
      <c r="AA98" s="587">
        <f>IF(IF(ISNA(INDEX(СГИ!$Q$3:$AJ$22,VLOOKUP($O98,СГИ!$O$3:$P$22,2),HLOOKUP(AA$50,СГИ!$Q$1:$AJ$2,2))),"",INDEX(СГИ!$Q$3:$AJ$22,VLOOKUP($O98,СГИ!$O$3:$P$22,2),HLOOKUP(AA$50,СГИ!$Q$1:$AJ$2,2)))=1,CONCATENATE("при измерении ",$O98," ",AA$50," не допускается ! "),"")</f>
      </c>
      <c r="AB98" s="587">
        <f>IF(IF(ISNA(INDEX(СГИ!$Q$3:$AJ$22,VLOOKUP($O98,СГИ!$O$3:$P$22,2),HLOOKUP(AB$50,СГИ!$Q$1:$AJ$2,2))),"",INDEX(СГИ!$Q$3:$AJ$22,VLOOKUP($O98,СГИ!$O$3:$P$22,2),HLOOKUP(AB$50,СГИ!$Q$1:$AJ$2,2)))=1,CONCATENATE("при измерении ",$O98," ",AB$50," не допускается ! "),"")</f>
      </c>
      <c r="AC98" s="587">
        <f>IF(IF(ISNA(INDEX(СГИ!$Q$3:$AJ$22,VLOOKUP($O98,СГИ!$O$3:$P$22,2),HLOOKUP(AC$50,СГИ!$Q$1:$AJ$2,2))),"",INDEX(СГИ!$Q$3:$AJ$22,VLOOKUP($O98,СГИ!$O$3:$P$22,2),HLOOKUP(AC$50,СГИ!$Q$1:$AJ$2,2)))=1,CONCATENATE("при измерении ",$O98," ",AC$50," не допускается ! "),"")</f>
      </c>
      <c r="AD98" s="587">
        <f>IF(IF(ISNA(INDEX(СГИ!$Q$3:$AJ$22,VLOOKUP($O98,СГИ!$O$3:$P$22,2),HLOOKUP(AD$50,СГИ!$Q$1:$AJ$2,2))),"",INDEX(СГИ!$Q$3:$AJ$22,VLOOKUP($O98,СГИ!$O$3:$P$22,2),HLOOKUP(AD$50,СГИ!$Q$1:$AJ$2,2)))=1,CONCATENATE("при измерении ",$O98," ",AD$50," не допускается ! "),"")</f>
      </c>
      <c r="AE98" s="587">
        <f>IF(IF(ISNA(INDEX(СГИ!$Q$3:$AJ$22,VLOOKUP($O98,СГИ!$O$3:$P$22,2),HLOOKUP(AE$50,СГИ!$Q$1:$AJ$2,2))),"",INDEX(СГИ!$Q$3:$AJ$22,VLOOKUP($O98,СГИ!$O$3:$P$22,2),HLOOKUP(AE$50,СГИ!$Q$1:$AJ$2,2)))=1,CONCATENATE("при измерении ",$O98," ",AE$50," не допускается ! "),"")</f>
      </c>
      <c r="AF98" s="587">
        <f>IF(IF(ISNA(INDEX(СГИ!$Q$3:$AJ$22,VLOOKUP($O98,СГИ!$O$3:$P$22,2),HLOOKUP(AF$50,СГИ!$Q$1:$AJ$2,2))),"",INDEX(СГИ!$Q$3:$AJ$22,VLOOKUP($O98,СГИ!$O$3:$P$22,2),HLOOKUP(AF$50,СГИ!$Q$1:$AJ$2,2)))=1,CONCATENATE("при измерении ",$O98," ",AF$50," не допускается ! "),"")</f>
      </c>
      <c r="AG98" s="615">
        <f>IF(IF(ISNA(INDEX(СГИ!$Q$3:$AJ$22,VLOOKUP($O98,СГИ!$O$3:$P$22,2),HLOOKUP(AG$50,СГИ!$Q$1:$AJ$2,2))),"",INDEX(СГИ!$Q$3:$AJ$22,VLOOKUP($O98,СГИ!$O$3:$P$22,2),HLOOKUP(AG$50,СГИ!$Q$1:$AJ$2,2)))=1,CONCATENATE("при измерении ",$O98," ",AG$50," не допускается ! "),"")</f>
      </c>
      <c r="AH98" s="1">
        <f t="shared" si="2"/>
      </c>
      <c r="AJ98" s="807" t="s">
        <v>746</v>
      </c>
      <c r="AK98" s="1" t="s">
        <v>601</v>
      </c>
    </row>
    <row r="99" spans="1:37" ht="33" customHeight="1" thickBot="1">
      <c r="A99" s="575" t="str">
        <f>IF('И11-Переносные с вын. БД'!D$22+'И11-Переносные с вын. БД'!D$23&gt;0,CONCATENATE("индикатор",'И11-Переносные с вын. БД'!I$22,'И11-Переносные с вын. БД'!I$23),IF('И11-Переносные с вын. БД'!H$2="","",'И11-Переносные с вын. БД'!H$2))</f>
        <v>ОКА-</v>
      </c>
      <c r="B99" s="512" t="s">
        <v>647</v>
      </c>
      <c r="G99" s="575">
        <f>IF('И11-Переносные с вын. БД'!L51=1,IF(SUM('И11-Переносные с вын. БД'!D59:D68)&lt;3,"",I100),"")</f>
      </c>
      <c r="H99" s="847" t="s">
        <v>712</v>
      </c>
      <c r="I99" s="576" t="s">
        <v>590</v>
      </c>
      <c r="J99" s="763">
        <f>IF('И11-Переносные с вын. БД'!D55&gt;0,ПГ!D55,"")</f>
      </c>
      <c r="K99" s="766" t="s">
        <v>539</v>
      </c>
      <c r="L99" s="749">
        <f>IF('И11-Переносные с вын. БД'!J71&gt;3,-2100,0)</f>
        <v>0</v>
      </c>
      <c r="M99" s="536">
        <v>-2100</v>
      </c>
      <c r="N99" s="561"/>
      <c r="O99" s="614">
        <f>MID('И11-Переносные с вын. БД'!I55,2,9)</f>
      </c>
      <c r="P99" s="587">
        <f>IF(IF(ISNA(INDEX(СГИ!$Q$3:$AJ$22,VLOOKUP($O99,СГИ!$O$3:$P$22,2),HLOOKUP(P$50,СГИ!$Q$1:$AJ$2,2))),"",INDEX(СГИ!$Q$3:$AJ$22,VLOOKUP($O99,СГИ!$O$3:$P$22,2),HLOOKUP(P$50,СГИ!$Q$1:$AJ$2,2)))=1,CONCATENATE("при измерении ",$O99," ",P$50," не допускается ! "),"")</f>
      </c>
      <c r="Q99" s="587">
        <f>IF(IF(ISNA(INDEX(СГИ!$Q$3:$AJ$22,VLOOKUP($O99,СГИ!$O$3:$P$22,2),HLOOKUP(Q$50,СГИ!$Q$1:$AJ$2,2))),"",INDEX(СГИ!$Q$3:$AJ$22,VLOOKUP($O99,СГИ!$O$3:$P$22,2),HLOOKUP(Q$50,СГИ!$Q$1:$AJ$2,2)))=1,CONCATENATE("при измерении ",$O99," ",Q$50," не допускается ! "),"")</f>
      </c>
      <c r="R99" s="587">
        <f>IF(IF(ISNA(INDEX(СГИ!$Q$3:$AJ$22,VLOOKUP($O99,СГИ!$O$3:$P$22,2),HLOOKUP(R$50,СГИ!$Q$1:$AJ$2,2))),"",INDEX(СГИ!$Q$3:$AJ$22,VLOOKUP($O99,СГИ!$O$3:$P$22,2),HLOOKUP(R$50,СГИ!$Q$1:$AJ$2,2)))=1,CONCATENATE("при измерении ",$O99," ",R$50," не допускается ! "),"")</f>
      </c>
      <c r="S99" s="587">
        <f>IF(IF(ISNA(INDEX(СГИ!$Q$3:$AJ$22,VLOOKUP($O99,СГИ!$O$3:$P$22,2),HLOOKUP(S$50,СГИ!$Q$1:$AJ$2,2))),"",INDEX(СГИ!$Q$3:$AJ$22,VLOOKUP($O99,СГИ!$O$3:$P$22,2),HLOOKUP(S$50,СГИ!$Q$1:$AJ$2,2)))=1,CONCATENATE("при измерении ",$O99," ",S$50," не допускается ! "),"")</f>
      </c>
      <c r="T99" s="587">
        <f>IF(IF(ISNA(INDEX(СГИ!$Q$3:$AJ$22,VLOOKUP($O99,СГИ!$O$3:$P$22,2),HLOOKUP(T$50,СГИ!$Q$1:$AJ$2,2))),"",INDEX(СГИ!$Q$3:$AJ$22,VLOOKUP($O99,СГИ!$O$3:$P$22,2),HLOOKUP(T$50,СГИ!$Q$1:$AJ$2,2)))=1,CONCATENATE("при измерении ",$O99," ",T$50," не допускается ! "),"")</f>
      </c>
      <c r="U99" s="587">
        <f>IF(IF(ISNA(INDEX(СГИ!$Q$3:$AJ$22,VLOOKUP($O99,СГИ!$O$3:$P$22,2),HLOOKUP(U$50,СГИ!$Q$1:$AJ$2,2))),"",INDEX(СГИ!$Q$3:$AJ$22,VLOOKUP($O99,СГИ!$O$3:$P$22,2),HLOOKUP(U$50,СГИ!$Q$1:$AJ$2,2)))=1,CONCATENATE("при измерении ",$O99," ",U$50," не допускается ! "),"")</f>
      </c>
      <c r="V99" s="587">
        <f>IF(IF(ISNA(INDEX(СГИ!$Q$3:$AJ$22,VLOOKUP($O99,СГИ!$O$3:$P$22,2),HLOOKUP(V$50,СГИ!$Q$1:$AJ$2,2))),"",INDEX(СГИ!$Q$3:$AJ$22,VLOOKUP($O99,СГИ!$O$3:$P$22,2),HLOOKUP(V$50,СГИ!$Q$1:$AJ$2,2)))=1,CONCATENATE("при измерении ",$O99," ",V$50," не допускается ! "),"")</f>
      </c>
      <c r="W99" s="587">
        <f>IF(IF(ISNA(INDEX(СГИ!$Q$3:$AJ$22,VLOOKUP($O99,СГИ!$O$3:$P$22,2),HLOOKUP(W$50,СГИ!$Q$1:$AJ$2,2))),"",INDEX(СГИ!$Q$3:$AJ$22,VLOOKUP($O99,СГИ!$O$3:$P$22,2),HLOOKUP(W$50,СГИ!$Q$1:$AJ$2,2)))=1,CONCATENATE("при измерении ",$O99," ",W$50," не допускается ! "),"")</f>
      </c>
      <c r="X99" s="587">
        <f>IF(IF(ISNA(INDEX(СГИ!$Q$3:$AJ$22,VLOOKUP($O99,СГИ!$O$3:$P$22,2),HLOOKUP(X$50,СГИ!$Q$1:$AJ$2,2))),"",INDEX(СГИ!$Q$3:$AJ$22,VLOOKUP($O99,СГИ!$O$3:$P$22,2),HLOOKUP(X$50,СГИ!$Q$1:$AJ$2,2)))=1,CONCATENATE("при измерении ",$O99," ",X$50," не допускается ! "),"")</f>
      </c>
      <c r="Y99" s="587">
        <f>IF(IF(ISNA(INDEX(СГИ!$Q$3:$AJ$22,VLOOKUP($O99,СГИ!$O$3:$P$22,2),HLOOKUP(Y$50,СГИ!$Q$1:$AJ$2,2))),"",INDEX(СГИ!$Q$3:$AJ$22,VLOOKUP($O99,СГИ!$O$3:$P$22,2),HLOOKUP(Y$50,СГИ!$Q$1:$AJ$2,2)))=1,CONCATENATE("при измерении ",$O99," ",Y$50," не допускается ! "),"")</f>
      </c>
      <c r="Z99" s="587">
        <f>IF(IF(ISNA(INDEX(СГИ!$Q$3:$AJ$22,VLOOKUP($O99,СГИ!$O$3:$P$22,2),HLOOKUP(Z$50,СГИ!$Q$1:$AJ$2,2))),"",INDEX(СГИ!$Q$3:$AJ$22,VLOOKUP($O99,СГИ!$O$3:$P$22,2),HLOOKUP(Z$50,СГИ!$Q$1:$AJ$2,2)))=1,CONCATENATE("при измерении ",$O99," ",Z$50," не допускается ! "),"")</f>
      </c>
      <c r="AA99" s="587">
        <f>IF(IF(ISNA(INDEX(СГИ!$Q$3:$AJ$22,VLOOKUP($O99,СГИ!$O$3:$P$22,2),HLOOKUP(AA$50,СГИ!$Q$1:$AJ$2,2))),"",INDEX(СГИ!$Q$3:$AJ$22,VLOOKUP($O99,СГИ!$O$3:$P$22,2),HLOOKUP(AA$50,СГИ!$Q$1:$AJ$2,2)))=1,CONCATENATE("при измерении ",$O99," ",AA$50," не допускается ! "),"")</f>
      </c>
      <c r="AB99" s="587">
        <f>IF(IF(ISNA(INDEX(СГИ!$Q$3:$AJ$22,VLOOKUP($O99,СГИ!$O$3:$P$22,2),HLOOKUP(AB$50,СГИ!$Q$1:$AJ$2,2))),"",INDEX(СГИ!$Q$3:$AJ$22,VLOOKUP($O99,СГИ!$O$3:$P$22,2),HLOOKUP(AB$50,СГИ!$Q$1:$AJ$2,2)))=1,CONCATENATE("при измерении ",$O99," ",AB$50," не допускается ! "),"")</f>
      </c>
      <c r="AC99" s="587">
        <f>IF(IF(ISNA(INDEX(СГИ!$Q$3:$AJ$22,VLOOKUP($O99,СГИ!$O$3:$P$22,2),HLOOKUP(AC$50,СГИ!$Q$1:$AJ$2,2))),"",INDEX(СГИ!$Q$3:$AJ$22,VLOOKUP($O99,СГИ!$O$3:$P$22,2),HLOOKUP(AC$50,СГИ!$Q$1:$AJ$2,2)))=1,CONCATENATE("при измерении ",$O99," ",AC$50," не допускается ! "),"")</f>
      </c>
      <c r="AD99" s="587">
        <f>IF(IF(ISNA(INDEX(СГИ!$Q$3:$AJ$22,VLOOKUP($O99,СГИ!$O$3:$P$22,2),HLOOKUP(AD$50,СГИ!$Q$1:$AJ$2,2))),"",INDEX(СГИ!$Q$3:$AJ$22,VLOOKUP($O99,СГИ!$O$3:$P$22,2),HLOOKUP(AD$50,СГИ!$Q$1:$AJ$2,2)))=1,CONCATENATE("при измерении ",$O99," ",AD$50," не допускается ! "),"")</f>
      </c>
      <c r="AE99" s="587">
        <f>IF(IF(ISNA(INDEX(СГИ!$Q$3:$AJ$22,VLOOKUP($O99,СГИ!$O$3:$P$22,2),HLOOKUP(AE$50,СГИ!$Q$1:$AJ$2,2))),"",INDEX(СГИ!$Q$3:$AJ$22,VLOOKUP($O99,СГИ!$O$3:$P$22,2),HLOOKUP(AE$50,СГИ!$Q$1:$AJ$2,2)))=1,CONCATENATE("при измерении ",$O99," ",AE$50," не допускается ! "),"")</f>
      </c>
      <c r="AF99" s="587">
        <f>IF(IF(ISNA(INDEX(СГИ!$Q$3:$AJ$22,VLOOKUP($O99,СГИ!$O$3:$P$22,2),HLOOKUP(AF$50,СГИ!$Q$1:$AJ$2,2))),"",INDEX(СГИ!$Q$3:$AJ$22,VLOOKUP($O99,СГИ!$O$3:$P$22,2),HLOOKUP(AF$50,СГИ!$Q$1:$AJ$2,2)))=1,CONCATENATE("при измерении ",$O99," ",AF$50," не допускается ! "),"")</f>
      </c>
      <c r="AG99" s="615">
        <f>IF(IF(ISNA(INDEX(СГИ!$Q$3:$AJ$22,VLOOKUP($O99,СГИ!$O$3:$P$22,2),HLOOKUP(AG$50,СГИ!$Q$1:$AJ$2,2))),"",INDEX(СГИ!$Q$3:$AJ$22,VLOOKUP($O99,СГИ!$O$3:$P$22,2),HLOOKUP(AG$50,СГИ!$Q$1:$AJ$2,2)))=1,CONCATENATE("при измерении ",$O99," ",AG$50," не допускается ! "),"")</f>
      </c>
      <c r="AH99" s="1">
        <f t="shared" si="2"/>
      </c>
      <c r="AJ99" s="807" t="s">
        <v>751</v>
      </c>
      <c r="AK99" s="1" t="s">
        <v>741</v>
      </c>
    </row>
    <row r="100" spans="1:37" ht="33" customHeight="1" thickBot="1">
      <c r="A100" s="512"/>
      <c r="B100" s="512"/>
      <c r="G100" s="575">
        <f>IF(AND('И11-Переносные с вын. БД'!L51=1,'И11-Переносные с вын. БД'!J71&gt;4),$I$55,"")</f>
      </c>
      <c r="H100" s="847" t="s">
        <v>722</v>
      </c>
      <c r="I100" s="576" t="s">
        <v>546</v>
      </c>
      <c r="J100" s="763">
        <f>IF('И11-Переносные с вын. БД'!D56&gt;0,ПГ!D56,"")</f>
      </c>
      <c r="K100" s="766" t="s">
        <v>530</v>
      </c>
      <c r="L100" s="749">
        <f>IF(NOT('И11-Переносные с вын. БД'!H53="взрывозащита предусмотрена"),0,VLOOKUP('И11-Переносные с вын. БД'!J71,ПГ!$B$26:$C$29,2))</f>
        <v>0</v>
      </c>
      <c r="M100" s="557" t="str">
        <f>CONCATENATE(ПГ!$C$26," или ",ПГ!$C$27," или ",ПГ!$C$28," или ",ПГ!$C$29)</f>
        <v>3545 или 4720 или 5910 или 7090</v>
      </c>
      <c r="N100" s="561"/>
      <c r="O100" s="614">
        <f>MID('И11-Переносные с вын. БД'!I56,2,9)</f>
      </c>
      <c r="P100" s="587">
        <f>IF(IF(ISNA(INDEX(СГИ!$Q$3:$AJ$22,VLOOKUP($O100,СГИ!$O$3:$P$22,2),HLOOKUP(P$50,СГИ!$Q$1:$AJ$2,2))),"",INDEX(СГИ!$Q$3:$AJ$22,VLOOKUP($O100,СГИ!$O$3:$P$22,2),HLOOKUP(P$50,СГИ!$Q$1:$AJ$2,2)))=1,CONCATENATE("при измерении ",$O100," ",P$50," не допускается ! "),"")</f>
      </c>
      <c r="Q100" s="587">
        <f>IF(IF(ISNA(INDEX(СГИ!$Q$3:$AJ$22,VLOOKUP($O100,СГИ!$O$3:$P$22,2),HLOOKUP(Q$50,СГИ!$Q$1:$AJ$2,2))),"",INDEX(СГИ!$Q$3:$AJ$22,VLOOKUP($O100,СГИ!$O$3:$P$22,2),HLOOKUP(Q$50,СГИ!$Q$1:$AJ$2,2)))=1,CONCATENATE("при измерении ",$O100," ",Q$50," не допускается ! "),"")</f>
      </c>
      <c r="R100" s="587">
        <f>IF(IF(ISNA(INDEX(СГИ!$Q$3:$AJ$22,VLOOKUP($O100,СГИ!$O$3:$P$22,2),HLOOKUP(R$50,СГИ!$Q$1:$AJ$2,2))),"",INDEX(СГИ!$Q$3:$AJ$22,VLOOKUP($O100,СГИ!$O$3:$P$22,2),HLOOKUP(R$50,СГИ!$Q$1:$AJ$2,2)))=1,CONCATENATE("при измерении ",$O100," ",R$50," не допускается ! "),"")</f>
      </c>
      <c r="S100" s="587">
        <f>IF(IF(ISNA(INDEX(СГИ!$Q$3:$AJ$22,VLOOKUP($O100,СГИ!$O$3:$P$22,2),HLOOKUP(S$50,СГИ!$Q$1:$AJ$2,2))),"",INDEX(СГИ!$Q$3:$AJ$22,VLOOKUP($O100,СГИ!$O$3:$P$22,2),HLOOKUP(S$50,СГИ!$Q$1:$AJ$2,2)))=1,CONCATENATE("при измерении ",$O100," ",S$50," не допускается ! "),"")</f>
      </c>
      <c r="T100" s="587">
        <f>IF(IF(ISNA(INDEX(СГИ!$Q$3:$AJ$22,VLOOKUP($O100,СГИ!$O$3:$P$22,2),HLOOKUP(T$50,СГИ!$Q$1:$AJ$2,2))),"",INDEX(СГИ!$Q$3:$AJ$22,VLOOKUP($O100,СГИ!$O$3:$P$22,2),HLOOKUP(T$50,СГИ!$Q$1:$AJ$2,2)))=1,CONCATENATE("при измерении ",$O100," ",T$50," не допускается ! "),"")</f>
      </c>
      <c r="U100" s="587">
        <f>IF(IF(ISNA(INDEX(СГИ!$Q$3:$AJ$22,VLOOKUP($O100,СГИ!$O$3:$P$22,2),HLOOKUP(U$50,СГИ!$Q$1:$AJ$2,2))),"",INDEX(СГИ!$Q$3:$AJ$22,VLOOKUP($O100,СГИ!$O$3:$P$22,2),HLOOKUP(U$50,СГИ!$Q$1:$AJ$2,2)))=1,CONCATENATE("при измерении ",$O100," ",U$50," не допускается ! "),"")</f>
      </c>
      <c r="V100" s="587">
        <f>IF(IF(ISNA(INDEX(СГИ!$Q$3:$AJ$22,VLOOKUP($O100,СГИ!$O$3:$P$22,2),HLOOKUP(V$50,СГИ!$Q$1:$AJ$2,2))),"",INDEX(СГИ!$Q$3:$AJ$22,VLOOKUP($O100,СГИ!$O$3:$P$22,2),HLOOKUP(V$50,СГИ!$Q$1:$AJ$2,2)))=1,CONCATENATE("при измерении ",$O100," ",V$50," не допускается ! "),"")</f>
      </c>
      <c r="W100" s="587">
        <f>IF(IF(ISNA(INDEX(СГИ!$Q$3:$AJ$22,VLOOKUP($O100,СГИ!$O$3:$P$22,2),HLOOKUP(W$50,СГИ!$Q$1:$AJ$2,2))),"",INDEX(СГИ!$Q$3:$AJ$22,VLOOKUP($O100,СГИ!$O$3:$P$22,2),HLOOKUP(W$50,СГИ!$Q$1:$AJ$2,2)))=1,CONCATENATE("при измерении ",$O100," ",W$50," не допускается ! "),"")</f>
      </c>
      <c r="X100" s="587">
        <f>IF(IF(ISNA(INDEX(СГИ!$Q$3:$AJ$22,VLOOKUP($O100,СГИ!$O$3:$P$22,2),HLOOKUP(X$50,СГИ!$Q$1:$AJ$2,2))),"",INDEX(СГИ!$Q$3:$AJ$22,VLOOKUP($O100,СГИ!$O$3:$P$22,2),HLOOKUP(X$50,СГИ!$Q$1:$AJ$2,2)))=1,CONCATENATE("при измерении ",$O100," ",X$50," не допускается ! "),"")</f>
      </c>
      <c r="Y100" s="587">
        <f>IF(IF(ISNA(INDEX(СГИ!$Q$3:$AJ$22,VLOOKUP($O100,СГИ!$O$3:$P$22,2),HLOOKUP(Y$50,СГИ!$Q$1:$AJ$2,2))),"",INDEX(СГИ!$Q$3:$AJ$22,VLOOKUP($O100,СГИ!$O$3:$P$22,2),HLOOKUP(Y$50,СГИ!$Q$1:$AJ$2,2)))=1,CONCATENATE("при измерении ",$O100," ",Y$50," не допускается ! "),"")</f>
      </c>
      <c r="Z100" s="587">
        <f>IF(IF(ISNA(INDEX(СГИ!$Q$3:$AJ$22,VLOOKUP($O100,СГИ!$O$3:$P$22,2),HLOOKUP(Z$50,СГИ!$Q$1:$AJ$2,2))),"",INDEX(СГИ!$Q$3:$AJ$22,VLOOKUP($O100,СГИ!$O$3:$P$22,2),HLOOKUP(Z$50,СГИ!$Q$1:$AJ$2,2)))=1,CONCATENATE("при измерении ",$O100," ",Z$50," не допускается ! "),"")</f>
      </c>
      <c r="AA100" s="587">
        <f>IF(IF(ISNA(INDEX(СГИ!$Q$3:$AJ$22,VLOOKUP($O100,СГИ!$O$3:$P$22,2),HLOOKUP(AA$50,СГИ!$Q$1:$AJ$2,2))),"",INDEX(СГИ!$Q$3:$AJ$22,VLOOKUP($O100,СГИ!$O$3:$P$22,2),HLOOKUP(AA$50,СГИ!$Q$1:$AJ$2,2)))=1,CONCATENATE("при измерении ",$O100," ",AA$50," не допускается ! "),"")</f>
      </c>
      <c r="AB100" s="587">
        <f>IF(IF(ISNA(INDEX(СГИ!$Q$3:$AJ$22,VLOOKUP($O100,СГИ!$O$3:$P$22,2),HLOOKUP(AB$50,СГИ!$Q$1:$AJ$2,2))),"",INDEX(СГИ!$Q$3:$AJ$22,VLOOKUP($O100,СГИ!$O$3:$P$22,2),HLOOKUP(AB$50,СГИ!$Q$1:$AJ$2,2)))=1,CONCATENATE("при измерении ",$O100," ",AB$50," не допускается ! "),"")</f>
      </c>
      <c r="AC100" s="587">
        <f>IF(IF(ISNA(INDEX(СГИ!$Q$3:$AJ$22,VLOOKUP($O100,СГИ!$O$3:$P$22,2),HLOOKUP(AC$50,СГИ!$Q$1:$AJ$2,2))),"",INDEX(СГИ!$Q$3:$AJ$22,VLOOKUP($O100,СГИ!$O$3:$P$22,2),HLOOKUP(AC$50,СГИ!$Q$1:$AJ$2,2)))=1,CONCATENATE("при измерении ",$O100," ",AC$50," не допускается ! "),"")</f>
      </c>
      <c r="AD100" s="587">
        <f>IF(IF(ISNA(INDEX(СГИ!$Q$3:$AJ$22,VLOOKUP($O100,СГИ!$O$3:$P$22,2),HLOOKUP(AD$50,СГИ!$Q$1:$AJ$2,2))),"",INDEX(СГИ!$Q$3:$AJ$22,VLOOKUP($O100,СГИ!$O$3:$P$22,2),HLOOKUP(AD$50,СГИ!$Q$1:$AJ$2,2)))=1,CONCATENATE("при измерении ",$O100," ",AD$50," не допускается ! "),"")</f>
      </c>
      <c r="AE100" s="587">
        <f>IF(IF(ISNA(INDEX(СГИ!$Q$3:$AJ$22,VLOOKUP($O100,СГИ!$O$3:$P$22,2),HLOOKUP(AE$50,СГИ!$Q$1:$AJ$2,2))),"",INDEX(СГИ!$Q$3:$AJ$22,VLOOKUP($O100,СГИ!$O$3:$P$22,2),HLOOKUP(AE$50,СГИ!$Q$1:$AJ$2,2)))=1,CONCATENATE("при измерении ",$O100," ",AE$50," не допускается ! "),"")</f>
      </c>
      <c r="AF100" s="587">
        <f>IF(IF(ISNA(INDEX(СГИ!$Q$3:$AJ$22,VLOOKUP($O100,СГИ!$O$3:$P$22,2),HLOOKUP(AF$50,СГИ!$Q$1:$AJ$2,2))),"",INDEX(СГИ!$Q$3:$AJ$22,VLOOKUP($O100,СГИ!$O$3:$P$22,2),HLOOKUP(AF$50,СГИ!$Q$1:$AJ$2,2)))=1,CONCATENATE("при измерении ",$O100," ",AF$50," не допускается ! "),"")</f>
      </c>
      <c r="AG100" s="615">
        <f>IF(IF(ISNA(INDEX(СГИ!$Q$3:$AJ$22,VLOOKUP($O100,СГИ!$O$3:$P$22,2),HLOOKUP(AG$50,СГИ!$Q$1:$AJ$2,2))),"",INDEX(СГИ!$Q$3:$AJ$22,VLOOKUP($O100,СГИ!$O$3:$P$22,2),HLOOKUP(AG$50,СГИ!$Q$1:$AJ$2,2)))=1,CONCATENATE("при измерении ",$O100," ",AG$50," не допускается ! "),"")</f>
      </c>
      <c r="AH100" s="1">
        <f t="shared" si="2"/>
      </c>
      <c r="AJ100" s="807" t="s">
        <v>607</v>
      </c>
      <c r="AK100" s="1"/>
    </row>
    <row r="101" spans="2:37" ht="33" customHeight="1">
      <c r="B101"/>
      <c r="I101" s="274" t="s">
        <v>543</v>
      </c>
      <c r="J101" s="763">
        <f>IF('И11-Переносные с вын. БД'!D57&gt;0,ПГ!D57,"")</f>
      </c>
      <c r="K101" s="766" t="s">
        <v>526</v>
      </c>
      <c r="L101" s="749">
        <f>500*('И11-Переносные с вын. БД'!J53*'И11-Переносные с вын. БД'!A54*'И11-Переносные с вын. БД'!J54+'И11-Переносные с вын. БД'!J53*'И11-Переносные с вын. БД'!A55*'И11-Переносные с вын. БД'!J55+'И11-Переносные с вын. БД'!J53*'И11-Переносные с вын. БД'!A56*'И11-Переносные с вын. БД'!J56)</f>
        <v>0</v>
      </c>
      <c r="M101" s="561">
        <v>525</v>
      </c>
      <c r="N101" s="561"/>
      <c r="O101" s="614">
        <f>MID('И11-Переносные с вын. БД'!I57,2,9)</f>
      </c>
      <c r="P101" s="587">
        <f>IF(IF(ISNA(INDEX(СГИ!$Q$3:$AJ$22,VLOOKUP($O101,СГИ!$O$3:$P$22,2),HLOOKUP(P$50,СГИ!$Q$1:$AJ$2,2))),"",INDEX(СГИ!$Q$3:$AJ$22,VLOOKUP($O101,СГИ!$O$3:$P$22,2),HLOOKUP(P$50,СГИ!$Q$1:$AJ$2,2)))=1,CONCATENATE("при измерении ",$O101," ",P$50," не допускается ! "),"")</f>
      </c>
      <c r="Q101" s="587">
        <f>IF(IF(ISNA(INDEX(СГИ!$Q$3:$AJ$22,VLOOKUP($O101,СГИ!$O$3:$P$22,2),HLOOKUP(Q$50,СГИ!$Q$1:$AJ$2,2))),"",INDEX(СГИ!$Q$3:$AJ$22,VLOOKUP($O101,СГИ!$O$3:$P$22,2),HLOOKUP(Q$50,СГИ!$Q$1:$AJ$2,2)))=1,CONCATENATE("при измерении ",$O101," ",Q$50," не допускается ! "),"")</f>
      </c>
      <c r="R101" s="587">
        <f>IF(IF(ISNA(INDEX(СГИ!$Q$3:$AJ$22,VLOOKUP($O101,СГИ!$O$3:$P$22,2),HLOOKUP(R$50,СГИ!$Q$1:$AJ$2,2))),"",INDEX(СГИ!$Q$3:$AJ$22,VLOOKUP($O101,СГИ!$O$3:$P$22,2),HLOOKUP(R$50,СГИ!$Q$1:$AJ$2,2)))=1,CONCATENATE("при измерении ",$O101," ",R$50," не допускается ! "),"")</f>
      </c>
      <c r="S101" s="587">
        <f>IF(IF(ISNA(INDEX(СГИ!$Q$3:$AJ$22,VLOOKUP($O101,СГИ!$O$3:$P$22,2),HLOOKUP(S$50,СГИ!$Q$1:$AJ$2,2))),"",INDEX(СГИ!$Q$3:$AJ$22,VLOOKUP($O101,СГИ!$O$3:$P$22,2),HLOOKUP(S$50,СГИ!$Q$1:$AJ$2,2)))=1,CONCATENATE("при измерении ",$O101," ",S$50," не допускается ! "),"")</f>
      </c>
      <c r="T101" s="587">
        <f>IF(IF(ISNA(INDEX(СГИ!$Q$3:$AJ$22,VLOOKUP($O101,СГИ!$O$3:$P$22,2),HLOOKUP(T$50,СГИ!$Q$1:$AJ$2,2))),"",INDEX(СГИ!$Q$3:$AJ$22,VLOOKUP($O101,СГИ!$O$3:$P$22,2),HLOOKUP(T$50,СГИ!$Q$1:$AJ$2,2)))=1,CONCATENATE("при измерении ",$O101," ",T$50," не допускается ! "),"")</f>
      </c>
      <c r="U101" s="587">
        <f>IF(IF(ISNA(INDEX(СГИ!$Q$3:$AJ$22,VLOOKUP($O101,СГИ!$O$3:$P$22,2),HLOOKUP(U$50,СГИ!$Q$1:$AJ$2,2))),"",INDEX(СГИ!$Q$3:$AJ$22,VLOOKUP($O101,СГИ!$O$3:$P$22,2),HLOOKUP(U$50,СГИ!$Q$1:$AJ$2,2)))=1,CONCATENATE("при измерении ",$O101," ",U$50," не допускается ! "),"")</f>
      </c>
      <c r="V101" s="587">
        <f>IF(IF(ISNA(INDEX(СГИ!$Q$3:$AJ$22,VLOOKUP($O101,СГИ!$O$3:$P$22,2),HLOOKUP(V$50,СГИ!$Q$1:$AJ$2,2))),"",INDEX(СГИ!$Q$3:$AJ$22,VLOOKUP($O101,СГИ!$O$3:$P$22,2),HLOOKUP(V$50,СГИ!$Q$1:$AJ$2,2)))=1,CONCATENATE("при измерении ",$O101," ",V$50," не допускается ! "),"")</f>
      </c>
      <c r="W101" s="587">
        <f>IF(IF(ISNA(INDEX(СГИ!$Q$3:$AJ$22,VLOOKUP($O101,СГИ!$O$3:$P$22,2),HLOOKUP(W$50,СГИ!$Q$1:$AJ$2,2))),"",INDEX(СГИ!$Q$3:$AJ$22,VLOOKUP($O101,СГИ!$O$3:$P$22,2),HLOOKUP(W$50,СГИ!$Q$1:$AJ$2,2)))=1,CONCATENATE("при измерении ",$O101," ",W$50," не допускается ! "),"")</f>
      </c>
      <c r="X101" s="587">
        <f>IF(IF(ISNA(INDEX(СГИ!$Q$3:$AJ$22,VLOOKUP($O101,СГИ!$O$3:$P$22,2),HLOOKUP(X$50,СГИ!$Q$1:$AJ$2,2))),"",INDEX(СГИ!$Q$3:$AJ$22,VLOOKUP($O101,СГИ!$O$3:$P$22,2),HLOOKUP(X$50,СГИ!$Q$1:$AJ$2,2)))=1,CONCATENATE("при измерении ",$O101," ",X$50," не допускается ! "),"")</f>
      </c>
      <c r="Y101" s="587">
        <f>IF(IF(ISNA(INDEX(СГИ!$Q$3:$AJ$22,VLOOKUP($O101,СГИ!$O$3:$P$22,2),HLOOKUP(Y$50,СГИ!$Q$1:$AJ$2,2))),"",INDEX(СГИ!$Q$3:$AJ$22,VLOOKUP($O101,СГИ!$O$3:$P$22,2),HLOOKUP(Y$50,СГИ!$Q$1:$AJ$2,2)))=1,CONCATENATE("при измерении ",$O101," ",Y$50," не допускается ! "),"")</f>
      </c>
      <c r="Z101" s="587">
        <f>IF(IF(ISNA(INDEX(СГИ!$Q$3:$AJ$22,VLOOKUP($O101,СГИ!$O$3:$P$22,2),HLOOKUP(Z$50,СГИ!$Q$1:$AJ$2,2))),"",INDEX(СГИ!$Q$3:$AJ$22,VLOOKUP($O101,СГИ!$O$3:$P$22,2),HLOOKUP(Z$50,СГИ!$Q$1:$AJ$2,2)))=1,CONCATENATE("при измерении ",$O101," ",Z$50," не допускается ! "),"")</f>
      </c>
      <c r="AA101" s="587">
        <f>IF(IF(ISNA(INDEX(СГИ!$Q$3:$AJ$22,VLOOKUP($O101,СГИ!$O$3:$P$22,2),HLOOKUP(AA$50,СГИ!$Q$1:$AJ$2,2))),"",INDEX(СГИ!$Q$3:$AJ$22,VLOOKUP($O101,СГИ!$O$3:$P$22,2),HLOOKUP(AA$50,СГИ!$Q$1:$AJ$2,2)))=1,CONCATENATE("при измерении ",$O101," ",AA$50," не допускается ! "),"")</f>
      </c>
      <c r="AB101" s="587">
        <f>IF(IF(ISNA(INDEX(СГИ!$Q$3:$AJ$22,VLOOKUP($O101,СГИ!$O$3:$P$22,2),HLOOKUP(AB$50,СГИ!$Q$1:$AJ$2,2))),"",INDEX(СГИ!$Q$3:$AJ$22,VLOOKUP($O101,СГИ!$O$3:$P$22,2),HLOOKUP(AB$50,СГИ!$Q$1:$AJ$2,2)))=1,CONCATENATE("при измерении ",$O101," ",AB$50," не допускается ! "),"")</f>
      </c>
      <c r="AC101" s="587">
        <f>IF(IF(ISNA(INDEX(СГИ!$Q$3:$AJ$22,VLOOKUP($O101,СГИ!$O$3:$P$22,2),HLOOKUP(AC$50,СГИ!$Q$1:$AJ$2,2))),"",INDEX(СГИ!$Q$3:$AJ$22,VLOOKUP($O101,СГИ!$O$3:$P$22,2),HLOOKUP(AC$50,СГИ!$Q$1:$AJ$2,2)))=1,CONCATENATE("при измерении ",$O101," ",AC$50," не допускается ! "),"")</f>
      </c>
      <c r="AD101" s="587">
        <f>IF(IF(ISNA(INDEX(СГИ!$Q$3:$AJ$22,VLOOKUP($O101,СГИ!$O$3:$P$22,2),HLOOKUP(AD$50,СГИ!$Q$1:$AJ$2,2))),"",INDEX(СГИ!$Q$3:$AJ$22,VLOOKUP($O101,СГИ!$O$3:$P$22,2),HLOOKUP(AD$50,СГИ!$Q$1:$AJ$2,2)))=1,CONCATENATE("при измерении ",$O101," ",AD$50," не допускается ! "),"")</f>
      </c>
      <c r="AE101" s="587">
        <f>IF(IF(ISNA(INDEX(СГИ!$Q$3:$AJ$22,VLOOKUP($O101,СГИ!$O$3:$P$22,2),HLOOKUP(AE$50,СГИ!$Q$1:$AJ$2,2))),"",INDEX(СГИ!$Q$3:$AJ$22,VLOOKUP($O101,СГИ!$O$3:$P$22,2),HLOOKUP(AE$50,СГИ!$Q$1:$AJ$2,2)))=1,CONCATENATE("при измерении ",$O101," ",AE$50," не допускается ! "),"")</f>
      </c>
      <c r="AF101" s="587">
        <f>IF(IF(ISNA(INDEX(СГИ!$Q$3:$AJ$22,VLOOKUP($O101,СГИ!$O$3:$P$22,2),HLOOKUP(AF$50,СГИ!$Q$1:$AJ$2,2))),"",INDEX(СГИ!$Q$3:$AJ$22,VLOOKUP($O101,СГИ!$O$3:$P$22,2),HLOOKUP(AF$50,СГИ!$Q$1:$AJ$2,2)))=1,CONCATENATE("при измерении ",$O101," ",AF$50," не допускается ! "),"")</f>
      </c>
      <c r="AG101" s="615">
        <f>IF(IF(ISNA(INDEX(СГИ!$Q$3:$AJ$22,VLOOKUP($O101,СГИ!$O$3:$P$22,2),HLOOKUP(AG$50,СГИ!$Q$1:$AJ$2,2))),"",INDEX(СГИ!$Q$3:$AJ$22,VLOOKUP($O101,СГИ!$O$3:$P$22,2),HLOOKUP(AG$50,СГИ!$Q$1:$AJ$2,2)))=1,CONCATENATE("при измерении ",$O101," ",AG$50," не допускается ! "),"")</f>
      </c>
      <c r="AH101" s="1">
        <f t="shared" si="2"/>
      </c>
      <c r="AJ101" s="1">
        <v>1</v>
      </c>
      <c r="AK101" s="1" t="s">
        <v>611</v>
      </c>
    </row>
    <row r="102" spans="1:37" ht="33" customHeight="1" thickBot="1">
      <c r="A102" s="827" t="s">
        <v>686</v>
      </c>
      <c r="B102" s="830" t="s">
        <v>650</v>
      </c>
      <c r="C102" s="827" t="s">
        <v>680</v>
      </c>
      <c r="D102" s="840" t="s">
        <v>650</v>
      </c>
      <c r="E102" s="839" t="s">
        <v>689</v>
      </c>
      <c r="F102" s="840" t="s">
        <v>650</v>
      </c>
      <c r="G102" s="827" t="s">
        <v>701</v>
      </c>
      <c r="H102" s="845" t="s">
        <v>650</v>
      </c>
      <c r="I102" s="274" t="s">
        <v>587</v>
      </c>
      <c r="J102" s="763">
        <f>IF('И11-Переносные с вын. БД'!D59&gt;0,ПГ!D59,"")</f>
      </c>
      <c r="K102" s="766" t="s">
        <v>533</v>
      </c>
      <c r="L102" s="749">
        <f>IF(AND('И11-Переносные с вын. БД'!L51=1,'И11-Переносные с вын. БД'!D57=1,'И11-Переносные с вын. БД'!J71=1),0.05*SUM(L96:L101),0)</f>
        <v>0</v>
      </c>
      <c r="M102" s="563">
        <v>0.05</v>
      </c>
      <c r="N102" s="561"/>
      <c r="O102" s="614">
        <f>MID('И11-Переносные с вын. БД'!I58,2,9)</f>
      </c>
      <c r="P102" s="587">
        <f>IF(IF(ISNA(INDEX(СГИ!$Q$3:$AJ$22,VLOOKUP($O102,СГИ!$O$3:$P$22,2),HLOOKUP(P$50,СГИ!$Q$1:$AJ$2,2))),"",INDEX(СГИ!$Q$3:$AJ$22,VLOOKUP($O102,СГИ!$O$3:$P$22,2),HLOOKUP(P$50,СГИ!$Q$1:$AJ$2,2)))=1,CONCATENATE("при измерении ",$O102," ",P$50," не допускается ! "),"")</f>
      </c>
      <c r="Q102" s="587">
        <f>IF(IF(ISNA(INDEX(СГИ!$Q$3:$AJ$22,VLOOKUP($O102,СГИ!$O$3:$P$22,2),HLOOKUP(Q$50,СГИ!$Q$1:$AJ$2,2))),"",INDEX(СГИ!$Q$3:$AJ$22,VLOOKUP($O102,СГИ!$O$3:$P$22,2),HLOOKUP(Q$50,СГИ!$Q$1:$AJ$2,2)))=1,CONCATENATE("при измерении ",$O102," ",Q$50," не допускается ! "),"")</f>
      </c>
      <c r="R102" s="587">
        <f>IF(IF(ISNA(INDEX(СГИ!$Q$3:$AJ$22,VLOOKUP($O102,СГИ!$O$3:$P$22,2),HLOOKUP(R$50,СГИ!$Q$1:$AJ$2,2))),"",INDEX(СГИ!$Q$3:$AJ$22,VLOOKUP($O102,СГИ!$O$3:$P$22,2),HLOOKUP(R$50,СГИ!$Q$1:$AJ$2,2)))=1,CONCATENATE("при измерении ",$O102," ",R$50," не допускается ! "),"")</f>
      </c>
      <c r="S102" s="587">
        <f>IF(IF(ISNA(INDEX(СГИ!$Q$3:$AJ$22,VLOOKUP($O102,СГИ!$O$3:$P$22,2),HLOOKUP(S$50,СГИ!$Q$1:$AJ$2,2))),"",INDEX(СГИ!$Q$3:$AJ$22,VLOOKUP($O102,СГИ!$O$3:$P$22,2),HLOOKUP(S$50,СГИ!$Q$1:$AJ$2,2)))=1,CONCATENATE("при измерении ",$O102," ",S$50," не допускается ! "),"")</f>
      </c>
      <c r="T102" s="587">
        <f>IF(IF(ISNA(INDEX(СГИ!$Q$3:$AJ$22,VLOOKUP($O102,СГИ!$O$3:$P$22,2),HLOOKUP(T$50,СГИ!$Q$1:$AJ$2,2))),"",INDEX(СГИ!$Q$3:$AJ$22,VLOOKUP($O102,СГИ!$O$3:$P$22,2),HLOOKUP(T$50,СГИ!$Q$1:$AJ$2,2)))=1,CONCATENATE("при измерении ",$O102," ",T$50," не допускается ! "),"")</f>
      </c>
      <c r="U102" s="587">
        <f>IF(IF(ISNA(INDEX(СГИ!$Q$3:$AJ$22,VLOOKUP($O102,СГИ!$O$3:$P$22,2),HLOOKUP(U$50,СГИ!$Q$1:$AJ$2,2))),"",INDEX(СГИ!$Q$3:$AJ$22,VLOOKUP($O102,СГИ!$O$3:$P$22,2),HLOOKUP(U$50,СГИ!$Q$1:$AJ$2,2)))=1,CONCATENATE("при измерении ",$O102," ",U$50," не допускается ! "),"")</f>
      </c>
      <c r="V102" s="587">
        <f>IF(IF(ISNA(INDEX(СГИ!$Q$3:$AJ$22,VLOOKUP($O102,СГИ!$O$3:$P$22,2),HLOOKUP(V$50,СГИ!$Q$1:$AJ$2,2))),"",INDEX(СГИ!$Q$3:$AJ$22,VLOOKUP($O102,СГИ!$O$3:$P$22,2),HLOOKUP(V$50,СГИ!$Q$1:$AJ$2,2)))=1,CONCATENATE("при измерении ",$O102," ",V$50," не допускается ! "),"")</f>
      </c>
      <c r="W102" s="587">
        <f>IF(IF(ISNA(INDEX(СГИ!$Q$3:$AJ$22,VLOOKUP($O102,СГИ!$O$3:$P$22,2),HLOOKUP(W$50,СГИ!$Q$1:$AJ$2,2))),"",INDEX(СГИ!$Q$3:$AJ$22,VLOOKUP($O102,СГИ!$O$3:$P$22,2),HLOOKUP(W$50,СГИ!$Q$1:$AJ$2,2)))=1,CONCATENATE("при измерении ",$O102," ",W$50," не допускается ! "),"")</f>
      </c>
      <c r="X102" s="587">
        <f>IF(IF(ISNA(INDEX(СГИ!$Q$3:$AJ$22,VLOOKUP($O102,СГИ!$O$3:$P$22,2),HLOOKUP(X$50,СГИ!$Q$1:$AJ$2,2))),"",INDEX(СГИ!$Q$3:$AJ$22,VLOOKUP($O102,СГИ!$O$3:$P$22,2),HLOOKUP(X$50,СГИ!$Q$1:$AJ$2,2)))=1,CONCATENATE("при измерении ",$O102," ",X$50," не допускается ! "),"")</f>
      </c>
      <c r="Y102" s="587">
        <f>IF(IF(ISNA(INDEX(СГИ!$Q$3:$AJ$22,VLOOKUP($O102,СГИ!$O$3:$P$22,2),HLOOKUP(Y$50,СГИ!$Q$1:$AJ$2,2))),"",INDEX(СГИ!$Q$3:$AJ$22,VLOOKUP($O102,СГИ!$O$3:$P$22,2),HLOOKUP(Y$50,СГИ!$Q$1:$AJ$2,2)))=1,CONCATENATE("при измерении ",$O102," ",Y$50," не допускается ! "),"")</f>
      </c>
      <c r="Z102" s="587">
        <f>IF(IF(ISNA(INDEX(СГИ!$Q$3:$AJ$22,VLOOKUP($O102,СГИ!$O$3:$P$22,2),HLOOKUP(Z$50,СГИ!$Q$1:$AJ$2,2))),"",INDEX(СГИ!$Q$3:$AJ$22,VLOOKUP($O102,СГИ!$O$3:$P$22,2),HLOOKUP(Z$50,СГИ!$Q$1:$AJ$2,2)))=1,CONCATENATE("при измерении ",$O102," ",Z$50," не допускается ! "),"")</f>
      </c>
      <c r="AA102" s="587">
        <f>IF(IF(ISNA(INDEX(СГИ!$Q$3:$AJ$22,VLOOKUP($O102,СГИ!$O$3:$P$22,2),HLOOKUP(AA$50,СГИ!$Q$1:$AJ$2,2))),"",INDEX(СГИ!$Q$3:$AJ$22,VLOOKUP($O102,СГИ!$O$3:$P$22,2),HLOOKUP(AA$50,СГИ!$Q$1:$AJ$2,2)))=1,CONCATENATE("при измерении ",$O102," ",AA$50," не допускается ! "),"")</f>
      </c>
      <c r="AB102" s="587">
        <f>IF(IF(ISNA(INDEX(СГИ!$Q$3:$AJ$22,VLOOKUP($O102,СГИ!$O$3:$P$22,2),HLOOKUP(AB$50,СГИ!$Q$1:$AJ$2,2))),"",INDEX(СГИ!$Q$3:$AJ$22,VLOOKUP($O102,СГИ!$O$3:$P$22,2),HLOOKUP(AB$50,СГИ!$Q$1:$AJ$2,2)))=1,CONCATENATE("при измерении ",$O102," ",AB$50," не допускается ! "),"")</f>
      </c>
      <c r="AC102" s="587">
        <f>IF(IF(ISNA(INDEX(СГИ!$Q$3:$AJ$22,VLOOKUP($O102,СГИ!$O$3:$P$22,2),HLOOKUP(AC$50,СГИ!$Q$1:$AJ$2,2))),"",INDEX(СГИ!$Q$3:$AJ$22,VLOOKUP($O102,СГИ!$O$3:$P$22,2),HLOOKUP(AC$50,СГИ!$Q$1:$AJ$2,2)))=1,CONCATENATE("при измерении ",$O102," ",AC$50," не допускается ! "),"")</f>
      </c>
      <c r="AD102" s="587">
        <f>IF(IF(ISNA(INDEX(СГИ!$Q$3:$AJ$22,VLOOKUP($O102,СГИ!$O$3:$P$22,2),HLOOKUP(AD$50,СГИ!$Q$1:$AJ$2,2))),"",INDEX(СГИ!$Q$3:$AJ$22,VLOOKUP($O102,СГИ!$O$3:$P$22,2),HLOOKUP(AD$50,СГИ!$Q$1:$AJ$2,2)))=1,CONCATENATE("при измерении ",$O102," ",AD$50," не допускается ! "),"")</f>
      </c>
      <c r="AE102" s="587">
        <f>IF(IF(ISNA(INDEX(СГИ!$Q$3:$AJ$22,VLOOKUP($O102,СГИ!$O$3:$P$22,2),HLOOKUP(AE$50,СГИ!$Q$1:$AJ$2,2))),"",INDEX(СГИ!$Q$3:$AJ$22,VLOOKUP($O102,СГИ!$O$3:$P$22,2),HLOOKUP(AE$50,СГИ!$Q$1:$AJ$2,2)))=1,CONCATENATE("при измерении ",$O102," ",AE$50," не допускается ! "),"")</f>
      </c>
      <c r="AF102" s="587">
        <f>IF(IF(ISNA(INDEX(СГИ!$Q$3:$AJ$22,VLOOKUP($O102,СГИ!$O$3:$P$22,2),HLOOKUP(AF$50,СГИ!$Q$1:$AJ$2,2))),"",INDEX(СГИ!$Q$3:$AJ$22,VLOOKUP($O102,СГИ!$O$3:$P$22,2),HLOOKUP(AF$50,СГИ!$Q$1:$AJ$2,2)))=1,CONCATENATE("при измерении ",$O102," ",AF$50," не допускается ! "),"")</f>
      </c>
      <c r="AG102" s="615">
        <f>IF(IF(ISNA(INDEX(СГИ!$Q$3:$AJ$22,VLOOKUP($O102,СГИ!$O$3:$P$22,2),HLOOKUP(AG$50,СГИ!$Q$1:$AJ$2,2))),"",INDEX(СГИ!$Q$3:$AJ$22,VLOOKUP($O102,СГИ!$O$3:$P$22,2),HLOOKUP(AG$50,СГИ!$Q$1:$AJ$2,2)))=1,CONCATENATE("при измерении ",$O102," ",AG$50," не допускается ! "),"")</f>
      </c>
      <c r="AH102" s="1">
        <f t="shared" si="2"/>
      </c>
      <c r="AJ102" s="1">
        <v>0</v>
      </c>
      <c r="AK102" s="1" t="s">
        <v>612</v>
      </c>
    </row>
    <row r="103" spans="1:37" ht="33" customHeight="1" thickBot="1">
      <c r="A103" s="575" t="str">
        <f>IF(C103="",A105,C103)</f>
        <v>Укажите каналы измерения выбранных газов </v>
      </c>
      <c r="B103" s="829" t="str">
        <f>CONCATENATE("- ",ADDRESS(7,8,1,1,"перен. с выносн. БД"))</f>
        <v>- 'перен. с выносн. БД'!$H$7</v>
      </c>
      <c r="C103" s="575">
        <f>IF(C105="",IF(C106="","",C106),C105)</f>
      </c>
      <c r="D103" s="829" t="str">
        <f>CONCATENATE("- ",ADDRESS(7,8,1,1,"перен. с выносн. БД"))</f>
        <v>- 'перен. с выносн. БД'!$H$7</v>
      </c>
      <c r="E103" s="575" t="str">
        <f>IF(G103="",E105,G103)</f>
        <v>(укажите необходимость взрывозащиты, если необходимо)</v>
      </c>
      <c r="F103" s="829" t="str">
        <f>CONCATENATE("- ",ADDRESS(9,8,1,1,"перен. с выносн. БД"))</f>
        <v>- 'перен. с выносн. БД'!$H$9</v>
      </c>
      <c r="G103" s="575">
        <f>IF(G105="",IF(G106="",IF(G107="",IF(G108="",IF(G109="",IF(G110="",IF(G111="","",G111),G110),G109),G108),G107),G106),G105)</f>
      </c>
      <c r="H103" s="846" t="str">
        <f>CONCATENATE("- ",ADDRESS(9,8,1,1,"перен. с выносн. БД"))</f>
        <v>- 'перен. с выносн. БД'!$H$9</v>
      </c>
      <c r="I103" s="576" t="s">
        <v>588</v>
      </c>
      <c r="J103" s="763">
        <f>IF('И11-Переносные с вын. БД'!D60&gt;0,ПГ!D60,"")</f>
      </c>
      <c r="K103" s="766" t="s">
        <v>534</v>
      </c>
      <c r="L103" s="749">
        <f>IF(AND('И11-Переносные с вын. БД'!L51="",OR('И11-Переносные с вын. БД'!J71=1,'И11-Переносные с вын. БД'!J71=2)),0.1*SUM(L96:L101),0)</f>
        <v>0</v>
      </c>
      <c r="M103" s="562">
        <v>0.1</v>
      </c>
      <c r="N103" s="561"/>
      <c r="O103" s="616">
        <f>MID('И11-Переносные с вын. БД'!I59,2,9)</f>
      </c>
      <c r="P103" s="589"/>
      <c r="Q103" s="589"/>
      <c r="R103" s="589"/>
      <c r="S103" s="589"/>
      <c r="T103" s="589"/>
      <c r="U103" s="589"/>
      <c r="V103" s="589"/>
      <c r="W103" s="589"/>
      <c r="X103" s="589"/>
      <c r="Y103" s="589"/>
      <c r="Z103" s="589"/>
      <c r="AA103" s="589"/>
      <c r="AB103" s="589"/>
      <c r="AC103" s="589"/>
      <c r="AD103" s="589"/>
      <c r="AE103" s="589"/>
      <c r="AF103" s="589"/>
      <c r="AG103" s="617"/>
      <c r="AH103" s="1">
        <f t="shared" si="2"/>
      </c>
      <c r="AJ103" s="1">
        <v>1</v>
      </c>
      <c r="AK103" s="1" t="s">
        <v>610</v>
      </c>
    </row>
    <row r="104" spans="1:37" ht="33" customHeight="1" thickBot="1">
      <c r="A104" s="831" t="s">
        <v>644</v>
      </c>
      <c r="B104" s="826" t="s">
        <v>685</v>
      </c>
      <c r="C104" s="831" t="s">
        <v>682</v>
      </c>
      <c r="E104" s="536" t="s">
        <v>725</v>
      </c>
      <c r="G104" s="831" t="s">
        <v>702</v>
      </c>
      <c r="I104" s="576" t="s">
        <v>586</v>
      </c>
      <c r="J104" s="763">
        <f>IF('И11-Переносные с вын. БД'!D61&gt;0,ПГ!D61,"")</f>
      </c>
      <c r="K104" s="766" t="s">
        <v>535</v>
      </c>
      <c r="L104" s="749">
        <f>IF(AND('И11-Переносные с вын. БД'!L51="",'И11-Переносные с вын. БД'!J71=1,SUM('И11-Переносные с вын. БД'!J52+'И11-Переносные с вын. БД'!J53+'И11-Переносные с вын. БД'!J54+'И11-Переносные с вын. БД'!J55+'И11-Переносные с вын. БД'!J56+'И11-Переносные с вын. БД'!J57+'И11-Переносные с вын. БД'!J63)=1),0.15*SUM(L96:L101)-L103,0)</f>
        <v>0</v>
      </c>
      <c r="M104" s="562">
        <v>0.05</v>
      </c>
      <c r="N104" s="561"/>
      <c r="O104" s="614">
        <f>MID('И11-Переносные с вын. БД'!I60,2,9)</f>
      </c>
      <c r="P104" s="587">
        <f>IF(IF(ISNA(INDEX(СГИ!$Q$3:$AJ$22,VLOOKUP($O104,СГИ!$O$3:$P$22,2),HLOOKUP(P$50,СГИ!$Q$1:$AJ$2,2))),"",INDEX(СГИ!$Q$3:$AJ$22,VLOOKUP($O104,СГИ!$O$3:$P$22,2),HLOOKUP(P$50,СГИ!$Q$1:$AJ$2,2)))=1,CONCATENATE("при измерении ",$O104," ",P$50," не допускается ! "),"")</f>
      </c>
      <c r="Q104" s="587">
        <f>IF(IF(ISNA(INDEX(СГИ!$Q$3:$AJ$22,VLOOKUP($O104,СГИ!$O$3:$P$22,2),HLOOKUP(Q$50,СГИ!$Q$1:$AJ$2,2))),"",INDEX(СГИ!$Q$3:$AJ$22,VLOOKUP($O104,СГИ!$O$3:$P$22,2),HLOOKUP(Q$50,СГИ!$Q$1:$AJ$2,2)))=1,CONCATENATE("при измерении ",$O104," ",Q$50," не допускается ! "),"")</f>
      </c>
      <c r="R104" s="587">
        <f>IF(IF(ISNA(INDEX(СГИ!$Q$3:$AJ$22,VLOOKUP($O104,СГИ!$O$3:$P$22,2),HLOOKUP(R$50,СГИ!$Q$1:$AJ$2,2))),"",INDEX(СГИ!$Q$3:$AJ$22,VLOOKUP($O104,СГИ!$O$3:$P$22,2),HLOOKUP(R$50,СГИ!$Q$1:$AJ$2,2)))=1,CONCATENATE("при измерении ",$O104," ",R$50," не допускается ! "),"")</f>
      </c>
      <c r="S104" s="587">
        <f>IF(IF(ISNA(INDEX(СГИ!$Q$3:$AJ$22,VLOOKUP($O104,СГИ!$O$3:$P$22,2),HLOOKUP(S$50,СГИ!$Q$1:$AJ$2,2))),"",INDEX(СГИ!$Q$3:$AJ$22,VLOOKUP($O104,СГИ!$O$3:$P$22,2),HLOOKUP(S$50,СГИ!$Q$1:$AJ$2,2)))=1,CONCATENATE("при измерении ",$O104," ",S$50," не допускается ! "),"")</f>
      </c>
      <c r="T104" s="587">
        <f>IF(IF(ISNA(INDEX(СГИ!$Q$3:$AJ$22,VLOOKUP($O104,СГИ!$O$3:$P$22,2),HLOOKUP(T$50,СГИ!$Q$1:$AJ$2,2))),"",INDEX(СГИ!$Q$3:$AJ$22,VLOOKUP($O104,СГИ!$O$3:$P$22,2),HLOOKUP(T$50,СГИ!$Q$1:$AJ$2,2)))=1,CONCATENATE("при измерении ",$O104," ",T$50," не допускается ! "),"")</f>
      </c>
      <c r="U104" s="587">
        <f>IF(IF(ISNA(INDEX(СГИ!$Q$3:$AJ$22,VLOOKUP($O104,СГИ!$O$3:$P$22,2),HLOOKUP(U$50,СГИ!$Q$1:$AJ$2,2))),"",INDEX(СГИ!$Q$3:$AJ$22,VLOOKUP($O104,СГИ!$O$3:$P$22,2),HLOOKUP(U$50,СГИ!$Q$1:$AJ$2,2)))=1,CONCATENATE("при измерении ",$O104," ",U$50," не допускается ! "),"")</f>
      </c>
      <c r="V104" s="587">
        <f>IF(IF(ISNA(INDEX(СГИ!$Q$3:$AJ$22,VLOOKUP($O104,СГИ!$O$3:$P$22,2),HLOOKUP(V$50,СГИ!$Q$1:$AJ$2,2))),"",INDEX(СГИ!$Q$3:$AJ$22,VLOOKUP($O104,СГИ!$O$3:$P$22,2),HLOOKUP(V$50,СГИ!$Q$1:$AJ$2,2)))=1,CONCATENATE("при измерении ",$O104," ",V$50," не допускается ! "),"")</f>
      </c>
      <c r="W104" s="587">
        <f>IF(IF(ISNA(INDEX(СГИ!$Q$3:$AJ$22,VLOOKUP($O104,СГИ!$O$3:$P$22,2),HLOOKUP(W$50,СГИ!$Q$1:$AJ$2,2))),"",INDEX(СГИ!$Q$3:$AJ$22,VLOOKUP($O104,СГИ!$O$3:$P$22,2),HLOOKUP(W$50,СГИ!$Q$1:$AJ$2,2)))=1,CONCATENATE("при измерении ",$O104," ",W$50," не допускается ! "),"")</f>
      </c>
      <c r="X104" s="587">
        <f>IF(IF(ISNA(INDEX(СГИ!$Q$3:$AJ$22,VLOOKUP($O104,СГИ!$O$3:$P$22,2),HLOOKUP(X$50,СГИ!$Q$1:$AJ$2,2))),"",INDEX(СГИ!$Q$3:$AJ$22,VLOOKUP($O104,СГИ!$O$3:$P$22,2),HLOOKUP(X$50,СГИ!$Q$1:$AJ$2,2)))=1,CONCATENATE("при измерении ",$O104," ",X$50," не допускается ! "),"")</f>
      </c>
      <c r="Y104" s="587">
        <f>IF(IF(ISNA(INDEX(СГИ!$Q$3:$AJ$22,VLOOKUP($O104,СГИ!$O$3:$P$22,2),HLOOKUP(Y$50,СГИ!$Q$1:$AJ$2,2))),"",INDEX(СГИ!$Q$3:$AJ$22,VLOOKUP($O104,СГИ!$O$3:$P$22,2),HLOOKUP(Y$50,СГИ!$Q$1:$AJ$2,2)))=1,CONCATENATE("при измерении ",$O104," ",Y$50," не допускается ! "),"")</f>
      </c>
      <c r="Z104" s="587">
        <f>IF(IF(ISNA(INDEX(СГИ!$Q$3:$AJ$22,VLOOKUP($O104,СГИ!$O$3:$P$22,2),HLOOKUP(Z$50,СГИ!$Q$1:$AJ$2,2))),"",INDEX(СГИ!$Q$3:$AJ$22,VLOOKUP($O104,СГИ!$O$3:$P$22,2),HLOOKUP(Z$50,СГИ!$Q$1:$AJ$2,2)))=1,CONCATENATE("при измерении ",$O104," ",Z$50," не допускается ! "),"")</f>
      </c>
      <c r="AA104" s="587">
        <f>IF(IF(ISNA(INDEX(СГИ!$Q$3:$AJ$22,VLOOKUP($O104,СГИ!$O$3:$P$22,2),HLOOKUP(AA$50,СГИ!$Q$1:$AJ$2,2))),"",INDEX(СГИ!$Q$3:$AJ$22,VLOOKUP($O104,СГИ!$O$3:$P$22,2),HLOOKUP(AA$50,СГИ!$Q$1:$AJ$2,2)))=1,CONCATENATE("при измерении ",$O104," ",AA$50," не допускается ! "),"")</f>
      </c>
      <c r="AB104" s="587">
        <f>IF(IF(ISNA(INDEX(СГИ!$Q$3:$AJ$22,VLOOKUP($O104,СГИ!$O$3:$P$22,2),HLOOKUP(AB$50,СГИ!$Q$1:$AJ$2,2))),"",INDEX(СГИ!$Q$3:$AJ$22,VLOOKUP($O104,СГИ!$O$3:$P$22,2),HLOOKUP(AB$50,СГИ!$Q$1:$AJ$2,2)))=1,CONCATENATE("при измерении ",$O104," ",AB$50," не допускается ! "),"")</f>
      </c>
      <c r="AC104" s="587">
        <f>IF(IF(ISNA(INDEX(СГИ!$Q$3:$AJ$22,VLOOKUP($O104,СГИ!$O$3:$P$22,2),HLOOKUP(AC$50,СГИ!$Q$1:$AJ$2,2))),"",INDEX(СГИ!$Q$3:$AJ$22,VLOOKUP($O104,СГИ!$O$3:$P$22,2),HLOOKUP(AC$50,СГИ!$Q$1:$AJ$2,2)))=1,CONCATENATE("при измерении ",$O104," ",AC$50," не допускается ! "),"")</f>
      </c>
      <c r="AD104" s="587">
        <f>IF(IF(ISNA(INDEX(СГИ!$Q$3:$AJ$22,VLOOKUP($O104,СГИ!$O$3:$P$22,2),HLOOKUP(AD$50,СГИ!$Q$1:$AJ$2,2))),"",INDEX(СГИ!$Q$3:$AJ$22,VLOOKUP($O104,СГИ!$O$3:$P$22,2),HLOOKUP(AD$50,СГИ!$Q$1:$AJ$2,2)))=1,CONCATENATE("при измерении ",$O104," ",AD$50," не допускается ! "),"")</f>
      </c>
      <c r="AE104" s="587">
        <f>IF(IF(ISNA(INDEX(СГИ!$Q$3:$AJ$22,VLOOKUP($O104,СГИ!$O$3:$P$22,2),HLOOKUP(AE$50,СГИ!$Q$1:$AJ$2,2))),"",INDEX(СГИ!$Q$3:$AJ$22,VLOOKUP($O104,СГИ!$O$3:$P$22,2),HLOOKUP(AE$50,СГИ!$Q$1:$AJ$2,2)))=1,CONCATENATE("при измерении ",$O104," ",AE$50," не допускается ! "),"")</f>
      </c>
      <c r="AF104" s="587">
        <f>IF(IF(ISNA(INDEX(СГИ!$Q$3:$AJ$22,VLOOKUP($O104,СГИ!$O$3:$P$22,2),HLOOKUP(AF$50,СГИ!$Q$1:$AJ$2,2))),"",INDEX(СГИ!$Q$3:$AJ$22,VLOOKUP($O104,СГИ!$O$3:$P$22,2),HLOOKUP(AF$50,СГИ!$Q$1:$AJ$2,2)))=1,CONCATENATE("при измерении ",$O104," ",AF$50," не допускается ! "),"")</f>
      </c>
      <c r="AG104" s="615">
        <f>IF(IF(ISNA(INDEX(СГИ!$Q$3:$AJ$22,VLOOKUP($O104,СГИ!$O$3:$P$22,2),HLOOKUP(AG$50,СГИ!$Q$1:$AJ$2,2))),"",INDEX(СГИ!$Q$3:$AJ$22,VLOOKUP($O104,СГИ!$O$3:$P$22,2),HLOOKUP(AG$50,СГИ!$Q$1:$AJ$2,2)))=1,CONCATENATE("при измерении ",$O104," ",AG$50," не допускается ! "),"")</f>
      </c>
      <c r="AH104" s="1">
        <f t="shared" si="2"/>
      </c>
      <c r="AJ104" s="1">
        <v>0</v>
      </c>
      <c r="AK104" s="1" t="s">
        <v>609</v>
      </c>
    </row>
    <row r="105" spans="1:37" ht="33" customHeight="1" thickBot="1">
      <c r="A105" s="575" t="str">
        <f>CONCATENATE(A106,IF(A108="",A107,A108))</f>
        <v>Укажите каналы измерения выбранных газов </v>
      </c>
      <c r="B105" s="826" t="s">
        <v>645</v>
      </c>
      <c r="C105" s="575">
        <f>IF('И11-Переносные с вын. БД'!J71&gt;5,$I$51,"")</f>
      </c>
      <c r="D105" s="826" t="s">
        <v>579</v>
      </c>
      <c r="E105" s="575" t="str">
        <f>IF('И11-Переносные с вын. БД'!L51=1,"",I$58)</f>
        <v>(укажите необходимость взрывозащиты, если необходимо)</v>
      </c>
      <c r="G105" s="575">
        <f>IF(OR('И11-Переносные с вын. БД'!L51="",'И11-Переносные с вын. БД'!L51=1),"",I104)</f>
      </c>
      <c r="H105" s="847" t="s">
        <v>693</v>
      </c>
      <c r="I105" s="576" t="s">
        <v>729</v>
      </c>
      <c r="J105" s="763">
        <f>IF('И11-Переносные с вын. БД'!D62&gt;0,ПГ!D62,"")</f>
      </c>
      <c r="K105" s="766" t="s">
        <v>757</v>
      </c>
      <c r="L105" s="749">
        <f>IF('И11-Переносные с вын. БД'!L52&gt;6,('И11-Переносные с вын. БД'!L52-6)*ПГ!C76,0)</f>
        <v>0</v>
      </c>
      <c r="M105" s="557"/>
      <c r="N105" s="561"/>
      <c r="O105" s="614">
        <f>MID('И11-Переносные с вын. БД'!I61,2,9)</f>
      </c>
      <c r="P105" s="587">
        <f>IF(IF(ISNA(INDEX(СГИ!$Q$3:$AJ$22,VLOOKUP($O105,СГИ!$O$3:$P$22,2),HLOOKUP(P$50,СГИ!$Q$1:$AJ$2,2))),"",INDEX(СГИ!$Q$3:$AJ$22,VLOOKUP($O105,СГИ!$O$3:$P$22,2),HLOOKUP(P$50,СГИ!$Q$1:$AJ$2,2)))=1,CONCATENATE("при измерении ",$O105," ",P$50," не допускается ! "),"")</f>
      </c>
      <c r="Q105" s="587">
        <f>IF(IF(ISNA(INDEX(СГИ!$Q$3:$AJ$22,VLOOKUP($O105,СГИ!$O$3:$P$22,2),HLOOKUP(Q$50,СГИ!$Q$1:$AJ$2,2))),"",INDEX(СГИ!$Q$3:$AJ$22,VLOOKUP($O105,СГИ!$O$3:$P$22,2),HLOOKUP(Q$50,СГИ!$Q$1:$AJ$2,2)))=1,CONCATENATE("при измерении ",$O105," ",Q$50," не допускается ! "),"")</f>
      </c>
      <c r="R105" s="587">
        <f>IF(IF(ISNA(INDEX(СГИ!$Q$3:$AJ$22,VLOOKUP($O105,СГИ!$O$3:$P$22,2),HLOOKUP(R$50,СГИ!$Q$1:$AJ$2,2))),"",INDEX(СГИ!$Q$3:$AJ$22,VLOOKUP($O105,СГИ!$O$3:$P$22,2),HLOOKUP(R$50,СГИ!$Q$1:$AJ$2,2)))=1,CONCATENATE("при измерении ",$O105," ",R$50," не допускается ! "),"")</f>
      </c>
      <c r="S105" s="587">
        <f>IF(IF(ISNA(INDEX(СГИ!$Q$3:$AJ$22,VLOOKUP($O105,СГИ!$O$3:$P$22,2),HLOOKUP(S$50,СГИ!$Q$1:$AJ$2,2))),"",INDEX(СГИ!$Q$3:$AJ$22,VLOOKUP($O105,СГИ!$O$3:$P$22,2),HLOOKUP(S$50,СГИ!$Q$1:$AJ$2,2)))=1,CONCATENATE("при измерении ",$O105," ",S$50," не допускается ! "),"")</f>
      </c>
      <c r="T105" s="587">
        <f>IF(IF(ISNA(INDEX(СГИ!$Q$3:$AJ$22,VLOOKUP($O105,СГИ!$O$3:$P$22,2),HLOOKUP(T$50,СГИ!$Q$1:$AJ$2,2))),"",INDEX(СГИ!$Q$3:$AJ$22,VLOOKUP($O105,СГИ!$O$3:$P$22,2),HLOOKUP(T$50,СГИ!$Q$1:$AJ$2,2)))=1,CONCATENATE("при измерении ",$O105," ",T$50," не допускается ! "),"")</f>
      </c>
      <c r="U105" s="587">
        <f>IF(IF(ISNA(INDEX(СГИ!$Q$3:$AJ$22,VLOOKUP($O105,СГИ!$O$3:$P$22,2),HLOOKUP(U$50,СГИ!$Q$1:$AJ$2,2))),"",INDEX(СГИ!$Q$3:$AJ$22,VLOOKUP($O105,СГИ!$O$3:$P$22,2),HLOOKUP(U$50,СГИ!$Q$1:$AJ$2,2)))=1,CONCATENATE("при измерении ",$O105," ",U$50," не допускается ! "),"")</f>
      </c>
      <c r="V105" s="587">
        <f>IF(IF(ISNA(INDEX(СГИ!$Q$3:$AJ$22,VLOOKUP($O105,СГИ!$O$3:$P$22,2),HLOOKUP(V$50,СГИ!$Q$1:$AJ$2,2))),"",INDEX(СГИ!$Q$3:$AJ$22,VLOOKUP($O105,СГИ!$O$3:$P$22,2),HLOOKUP(V$50,СГИ!$Q$1:$AJ$2,2)))=1,CONCATENATE("при измерении ",$O105," ",V$50," не допускается ! "),"")</f>
      </c>
      <c r="W105" s="587">
        <f>IF(IF(ISNA(INDEX(СГИ!$Q$3:$AJ$22,VLOOKUP($O105,СГИ!$O$3:$P$22,2),HLOOKUP(W$50,СГИ!$Q$1:$AJ$2,2))),"",INDEX(СГИ!$Q$3:$AJ$22,VLOOKUP($O105,СГИ!$O$3:$P$22,2),HLOOKUP(W$50,СГИ!$Q$1:$AJ$2,2)))=1,CONCATENATE("при измерении ",$O105," ",W$50," не допускается ! "),"")</f>
      </c>
      <c r="X105" s="587">
        <f>IF(IF(ISNA(INDEX(СГИ!$Q$3:$AJ$22,VLOOKUP($O105,СГИ!$O$3:$P$22,2),HLOOKUP(X$50,СГИ!$Q$1:$AJ$2,2))),"",INDEX(СГИ!$Q$3:$AJ$22,VLOOKUP($O105,СГИ!$O$3:$P$22,2),HLOOKUP(X$50,СГИ!$Q$1:$AJ$2,2)))=1,CONCATENATE("при измерении ",$O105," ",X$50," не допускается ! "),"")</f>
      </c>
      <c r="Y105" s="587">
        <f>IF(IF(ISNA(INDEX(СГИ!$Q$3:$AJ$22,VLOOKUP($O105,СГИ!$O$3:$P$22,2),HLOOKUP(Y$50,СГИ!$Q$1:$AJ$2,2))),"",INDEX(СГИ!$Q$3:$AJ$22,VLOOKUP($O105,СГИ!$O$3:$P$22,2),HLOOKUP(Y$50,СГИ!$Q$1:$AJ$2,2)))=1,CONCATENATE("при измерении ",$O105," ",Y$50," не допускается ! "),"")</f>
      </c>
      <c r="Z105" s="587">
        <f>IF(IF(ISNA(INDEX(СГИ!$Q$3:$AJ$22,VLOOKUP($O105,СГИ!$O$3:$P$22,2),HLOOKUP(Z$50,СГИ!$Q$1:$AJ$2,2))),"",INDEX(СГИ!$Q$3:$AJ$22,VLOOKUP($O105,СГИ!$O$3:$P$22,2),HLOOKUP(Z$50,СГИ!$Q$1:$AJ$2,2)))=1,CONCATENATE("при измерении ",$O105," ",Z$50," не допускается ! "),"")</f>
      </c>
      <c r="AA105" s="587">
        <f>IF(IF(ISNA(INDEX(СГИ!$Q$3:$AJ$22,VLOOKUP($O105,СГИ!$O$3:$P$22,2),HLOOKUP(AA$50,СГИ!$Q$1:$AJ$2,2))),"",INDEX(СГИ!$Q$3:$AJ$22,VLOOKUP($O105,СГИ!$O$3:$P$22,2),HLOOKUP(AA$50,СГИ!$Q$1:$AJ$2,2)))=1,CONCATENATE("при измерении ",$O105," ",AA$50," не допускается ! "),"")</f>
      </c>
      <c r="AB105" s="587">
        <f>IF(IF(ISNA(INDEX(СГИ!$Q$3:$AJ$22,VLOOKUP($O105,СГИ!$O$3:$P$22,2),HLOOKUP(AB$50,СГИ!$Q$1:$AJ$2,2))),"",INDEX(СГИ!$Q$3:$AJ$22,VLOOKUP($O105,СГИ!$O$3:$P$22,2),HLOOKUP(AB$50,СГИ!$Q$1:$AJ$2,2)))=1,CONCATENATE("при измерении ",$O105," ",AB$50," не допускается ! "),"")</f>
      </c>
      <c r="AC105" s="587">
        <f>IF(IF(ISNA(INDEX(СГИ!$Q$3:$AJ$22,VLOOKUP($O105,СГИ!$O$3:$P$22,2),HLOOKUP(AC$50,СГИ!$Q$1:$AJ$2,2))),"",INDEX(СГИ!$Q$3:$AJ$22,VLOOKUP($O105,СГИ!$O$3:$P$22,2),HLOOKUP(AC$50,СГИ!$Q$1:$AJ$2,2)))=1,CONCATENATE("при измерении ",$O105," ",AC$50," не допускается ! "),"")</f>
      </c>
      <c r="AD105" s="587">
        <f>IF(IF(ISNA(INDEX(СГИ!$Q$3:$AJ$22,VLOOKUP($O105,СГИ!$O$3:$P$22,2),HLOOKUP(AD$50,СГИ!$Q$1:$AJ$2,2))),"",INDEX(СГИ!$Q$3:$AJ$22,VLOOKUP($O105,СГИ!$O$3:$P$22,2),HLOOKUP(AD$50,СГИ!$Q$1:$AJ$2,2)))=1,CONCATENATE("при измерении ",$O105," ",AD$50," не допускается ! "),"")</f>
      </c>
      <c r="AE105" s="587">
        <f>IF(IF(ISNA(INDEX(СГИ!$Q$3:$AJ$22,VLOOKUP($O105,СГИ!$O$3:$P$22,2),HLOOKUP(AE$50,СГИ!$Q$1:$AJ$2,2))),"",INDEX(СГИ!$Q$3:$AJ$22,VLOOKUP($O105,СГИ!$O$3:$P$22,2),HLOOKUP(AE$50,СГИ!$Q$1:$AJ$2,2)))=1,CONCATENATE("при измерении ",$O105," ",AE$50," не допускается ! "),"")</f>
      </c>
      <c r="AF105" s="587">
        <f>IF(IF(ISNA(INDEX(СГИ!$Q$3:$AJ$22,VLOOKUP($O105,СГИ!$O$3:$P$22,2),HLOOKUP(AF$50,СГИ!$Q$1:$AJ$2,2))),"",INDEX(СГИ!$Q$3:$AJ$22,VLOOKUP($O105,СГИ!$O$3:$P$22,2),HLOOKUP(AF$50,СГИ!$Q$1:$AJ$2,2)))=1,CONCATENATE("при измерении ",$O105," ",AF$50," не допускается ! "),"")</f>
      </c>
      <c r="AG105" s="615">
        <f>IF(IF(ISNA(INDEX(СГИ!$Q$3:$AJ$22,VLOOKUP($O105,СГИ!$O$3:$P$22,2),HLOOKUP(AG$50,СГИ!$Q$1:$AJ$2,2))),"",INDEX(СГИ!$Q$3:$AJ$22,VLOOKUP($O105,СГИ!$O$3:$P$22,2),HLOOKUP(AG$50,СГИ!$Q$1:$AJ$2,2)))=1,CONCATENATE("при измерении ",$O105," ",AG$50," не допускается ! "),"")</f>
      </c>
      <c r="AH105" s="1">
        <f t="shared" si="2"/>
      </c>
      <c r="AJ105" s="1">
        <v>0</v>
      </c>
      <c r="AK105" s="1" t="s">
        <v>632</v>
      </c>
    </row>
    <row r="106" spans="1:37" ht="33" customHeight="1" thickBot="1">
      <c r="A106" s="575">
        <f>IF('И11-Переносные с вын. БД'!J53+SUM('И11-Переносные с вын. БД'!J54:J56)&gt;MAX('И11-Переносные с вын. БД'!J53,'И11-Переносные с вын. БД'!J54:J56),$I$50,"")</f>
      </c>
      <c r="B106" s="826" t="s">
        <v>646</v>
      </c>
      <c r="C106" s="575">
        <f>IF(AND('И11-Переносные с вын. БД'!H47=I91,OR('И11-Переносные с вын. БД'!D65=1,'И11-Переносные с вын. БД'!D66=1)),I99,"")</f>
      </c>
      <c r="D106" s="826" t="s">
        <v>642</v>
      </c>
      <c r="G106" s="575">
        <f>IF('И11-Переносные с вын. БД'!D$8=1,$I$60,"")</f>
      </c>
      <c r="H106" s="847" t="s">
        <v>694</v>
      </c>
      <c r="I106" s="576" t="s">
        <v>589</v>
      </c>
      <c r="J106" s="763">
        <f>IF('И11-Переносные с вын. БД'!D63&gt;0,ПГ!D63,"")</f>
      </c>
      <c r="K106" s="766"/>
      <c r="L106" s="749"/>
      <c r="M106" s="557"/>
      <c r="N106" s="561"/>
      <c r="O106" s="614">
        <f>MID('И11-Переносные с вын. БД'!I62,2,9)</f>
      </c>
      <c r="P106" s="587">
        <f>IF(IF(ISNA(INDEX(СГИ!$Q$3:$AJ$22,VLOOKUP($O106,СГИ!$O$3:$P$22,2),HLOOKUP(P$50,СГИ!$Q$1:$AJ$2,2))),"",INDEX(СГИ!$Q$3:$AJ$22,VLOOKUP($O106,СГИ!$O$3:$P$22,2),HLOOKUP(P$50,СГИ!$Q$1:$AJ$2,2)))=1,CONCATENATE("при измерении ",$O106," ",P$50," не допускается ! "),"")</f>
      </c>
      <c r="Q106" s="587">
        <f>IF(IF(ISNA(INDEX(СГИ!$Q$3:$AJ$22,VLOOKUP($O106,СГИ!$O$3:$P$22,2),HLOOKUP(Q$50,СГИ!$Q$1:$AJ$2,2))),"",INDEX(СГИ!$Q$3:$AJ$22,VLOOKUP($O106,СГИ!$O$3:$P$22,2),HLOOKUP(Q$50,СГИ!$Q$1:$AJ$2,2)))=1,CONCATENATE("при измерении ",$O106," ",Q$50," не допускается ! "),"")</f>
      </c>
      <c r="R106" s="587">
        <f>IF(IF(ISNA(INDEX(СГИ!$Q$3:$AJ$22,VLOOKUP($O106,СГИ!$O$3:$P$22,2),HLOOKUP(R$50,СГИ!$Q$1:$AJ$2,2))),"",INDEX(СГИ!$Q$3:$AJ$22,VLOOKUP($O106,СГИ!$O$3:$P$22,2),HLOOKUP(R$50,СГИ!$Q$1:$AJ$2,2)))=1,CONCATENATE("при измерении ",$O106," ",R$50," не допускается ! "),"")</f>
      </c>
      <c r="S106" s="587">
        <f>IF(IF(ISNA(INDEX(СГИ!$Q$3:$AJ$22,VLOOKUP($O106,СГИ!$O$3:$P$22,2),HLOOKUP(S$50,СГИ!$Q$1:$AJ$2,2))),"",INDEX(СГИ!$Q$3:$AJ$22,VLOOKUP($O106,СГИ!$O$3:$P$22,2),HLOOKUP(S$50,СГИ!$Q$1:$AJ$2,2)))=1,CONCATENATE("при измерении ",$O106," ",S$50," не допускается ! "),"")</f>
      </c>
      <c r="T106" s="587">
        <f>IF(IF(ISNA(INDEX(СГИ!$Q$3:$AJ$22,VLOOKUP($O106,СГИ!$O$3:$P$22,2),HLOOKUP(T$50,СГИ!$Q$1:$AJ$2,2))),"",INDEX(СГИ!$Q$3:$AJ$22,VLOOKUP($O106,СГИ!$O$3:$P$22,2),HLOOKUP(T$50,СГИ!$Q$1:$AJ$2,2)))=1,CONCATENATE("при измерении ",$O106," ",T$50," не допускается ! "),"")</f>
      </c>
      <c r="U106" s="587">
        <f>IF(IF(ISNA(INDEX(СГИ!$Q$3:$AJ$22,VLOOKUP($O106,СГИ!$O$3:$P$22,2),HLOOKUP(U$50,СГИ!$Q$1:$AJ$2,2))),"",INDEX(СГИ!$Q$3:$AJ$22,VLOOKUP($O106,СГИ!$O$3:$P$22,2),HLOOKUP(U$50,СГИ!$Q$1:$AJ$2,2)))=1,CONCATENATE("при измерении ",$O106," ",U$50," не допускается ! "),"")</f>
      </c>
      <c r="V106" s="587">
        <f>IF(IF(ISNA(INDEX(СГИ!$Q$3:$AJ$22,VLOOKUP($O106,СГИ!$O$3:$P$22,2),HLOOKUP(V$50,СГИ!$Q$1:$AJ$2,2))),"",INDEX(СГИ!$Q$3:$AJ$22,VLOOKUP($O106,СГИ!$O$3:$P$22,2),HLOOKUP(V$50,СГИ!$Q$1:$AJ$2,2)))=1,CONCATENATE("при измерении ",$O106," ",V$50," не допускается ! "),"")</f>
      </c>
      <c r="W106" s="587">
        <f>IF(IF(ISNA(INDEX(СГИ!$Q$3:$AJ$22,VLOOKUP($O106,СГИ!$O$3:$P$22,2),HLOOKUP(W$50,СГИ!$Q$1:$AJ$2,2))),"",INDEX(СГИ!$Q$3:$AJ$22,VLOOKUP($O106,СГИ!$O$3:$P$22,2),HLOOKUP(W$50,СГИ!$Q$1:$AJ$2,2)))=1,CONCATENATE("при измерении ",$O106," ",W$50," не допускается ! "),"")</f>
      </c>
      <c r="X106" s="587">
        <f>IF(IF(ISNA(INDEX(СГИ!$Q$3:$AJ$22,VLOOKUP($O106,СГИ!$O$3:$P$22,2),HLOOKUP(X$50,СГИ!$Q$1:$AJ$2,2))),"",INDEX(СГИ!$Q$3:$AJ$22,VLOOKUP($O106,СГИ!$O$3:$P$22,2),HLOOKUP(X$50,СГИ!$Q$1:$AJ$2,2)))=1,CONCATENATE("при измерении ",$O106," ",X$50," не допускается ! "),"")</f>
      </c>
      <c r="Y106" s="587">
        <f>IF(IF(ISNA(INDEX(СГИ!$Q$3:$AJ$22,VLOOKUP($O106,СГИ!$O$3:$P$22,2),HLOOKUP(Y$50,СГИ!$Q$1:$AJ$2,2))),"",INDEX(СГИ!$Q$3:$AJ$22,VLOOKUP($O106,СГИ!$O$3:$P$22,2),HLOOKUP(Y$50,СГИ!$Q$1:$AJ$2,2)))=1,CONCATENATE("при измерении ",$O106," ",Y$50," не допускается ! "),"")</f>
      </c>
      <c r="Z106" s="587">
        <f>IF(IF(ISNA(INDEX(СГИ!$Q$3:$AJ$22,VLOOKUP($O106,СГИ!$O$3:$P$22,2),HLOOKUP(Z$50,СГИ!$Q$1:$AJ$2,2))),"",INDEX(СГИ!$Q$3:$AJ$22,VLOOKUP($O106,СГИ!$O$3:$P$22,2),HLOOKUP(Z$50,СГИ!$Q$1:$AJ$2,2)))=1,CONCATENATE("при измерении ",$O106," ",Z$50," не допускается ! "),"")</f>
      </c>
      <c r="AA106" s="587">
        <f>IF(IF(ISNA(INDEX(СГИ!$Q$3:$AJ$22,VLOOKUP($O106,СГИ!$O$3:$P$22,2),HLOOKUP(AA$50,СГИ!$Q$1:$AJ$2,2))),"",INDEX(СГИ!$Q$3:$AJ$22,VLOOKUP($O106,СГИ!$O$3:$P$22,2),HLOOKUP(AA$50,СГИ!$Q$1:$AJ$2,2)))=1,CONCATENATE("при измерении ",$O106," ",AA$50," не допускается ! "),"")</f>
      </c>
      <c r="AB106" s="587">
        <f>IF(IF(ISNA(INDEX(СГИ!$Q$3:$AJ$22,VLOOKUP($O106,СГИ!$O$3:$P$22,2),HLOOKUP(AB$50,СГИ!$Q$1:$AJ$2,2))),"",INDEX(СГИ!$Q$3:$AJ$22,VLOOKUP($O106,СГИ!$O$3:$P$22,2),HLOOKUP(AB$50,СГИ!$Q$1:$AJ$2,2)))=1,CONCATENATE("при измерении ",$O106," ",AB$50," не допускается ! "),"")</f>
      </c>
      <c r="AC106" s="587">
        <f>IF(IF(ISNA(INDEX(СГИ!$Q$3:$AJ$22,VLOOKUP($O106,СГИ!$O$3:$P$22,2),HLOOKUP(AC$50,СГИ!$Q$1:$AJ$2,2))),"",INDEX(СГИ!$Q$3:$AJ$22,VLOOKUP($O106,СГИ!$O$3:$P$22,2),HLOOKUP(AC$50,СГИ!$Q$1:$AJ$2,2)))=1,CONCATENATE("при измерении ",$O106," ",AC$50," не допускается ! "),"")</f>
      </c>
      <c r="AD106" s="587">
        <f>IF(IF(ISNA(INDEX(СГИ!$Q$3:$AJ$22,VLOOKUP($O106,СГИ!$O$3:$P$22,2),HLOOKUP(AD$50,СГИ!$Q$1:$AJ$2,2))),"",INDEX(СГИ!$Q$3:$AJ$22,VLOOKUP($O106,СГИ!$O$3:$P$22,2),HLOOKUP(AD$50,СГИ!$Q$1:$AJ$2,2)))=1,CONCATENATE("при измерении ",$O106," ",AD$50," не допускается ! "),"")</f>
      </c>
      <c r="AE106" s="587">
        <f>IF(IF(ISNA(INDEX(СГИ!$Q$3:$AJ$22,VLOOKUP($O106,СГИ!$O$3:$P$22,2),HLOOKUP(AE$50,СГИ!$Q$1:$AJ$2,2))),"",INDEX(СГИ!$Q$3:$AJ$22,VLOOKUP($O106,СГИ!$O$3:$P$22,2),HLOOKUP(AE$50,СГИ!$Q$1:$AJ$2,2)))=1,CONCATENATE("при измерении ",$O106," ",AE$50," не допускается ! "),"")</f>
      </c>
      <c r="AF106" s="587">
        <f>IF(IF(ISNA(INDEX(СГИ!$Q$3:$AJ$22,VLOOKUP($O106,СГИ!$O$3:$P$22,2),HLOOKUP(AF$50,СГИ!$Q$1:$AJ$2,2))),"",INDEX(СГИ!$Q$3:$AJ$22,VLOOKUP($O106,СГИ!$O$3:$P$22,2),HLOOKUP(AF$50,СГИ!$Q$1:$AJ$2,2)))=1,CONCATENATE("при измерении ",$O106," ",AF$50," не допускается ! "),"")</f>
      </c>
      <c r="AG106" s="615">
        <f>IF(IF(ISNA(INDEX(СГИ!$Q$3:$AJ$22,VLOOKUP($O106,СГИ!$O$3:$P$22,2),HLOOKUP(AG$50,СГИ!$Q$1:$AJ$2,2))),"",INDEX(СГИ!$Q$3:$AJ$22,VLOOKUP($O106,СГИ!$O$3:$P$22,2),HLOOKUP(AG$50,СГИ!$Q$1:$AJ$2,2)))=1,CONCATENATE("при измерении ",$O106," ",AG$50," не допускается ! "),"")</f>
      </c>
      <c r="AH106" s="1">
        <f t="shared" si="2"/>
      </c>
      <c r="AJ106" s="807" t="s">
        <v>638</v>
      </c>
      <c r="AK106" s="1" t="s">
        <v>633</v>
      </c>
    </row>
    <row r="107" spans="1:36" ht="33" customHeight="1" thickBot="1">
      <c r="A107" s="575" t="str">
        <f>IF('И11-Переносные с вын. БД'!J71=0,$I$49,AH95)</f>
        <v>Укажите каналы измерения выбранных газов </v>
      </c>
      <c r="B107" s="512" t="s">
        <v>649</v>
      </c>
      <c r="G107" s="575">
        <f>IF('И11-Переносные с вын. БД'!L51=1,IF(SUM('И11-Переносные с вын. БД'!D54:D56)&lt;2,"",I107),"")</f>
      </c>
      <c r="H107" s="847" t="s">
        <v>709</v>
      </c>
      <c r="I107" s="576" t="s">
        <v>639</v>
      </c>
      <c r="J107" s="763">
        <f>IF('И11-Переносные с вын. БД'!D64&gt;0,ПГ!D64,"")</f>
      </c>
      <c r="K107" s="766"/>
      <c r="L107" s="749"/>
      <c r="M107" s="557"/>
      <c r="N107" s="561"/>
      <c r="O107" s="614">
        <f>MID('И11-Переносные с вын. БД'!I63,2,9)</f>
      </c>
      <c r="P107" s="587">
        <f>IF(IF(ISNA(INDEX(СГИ!$Q$3:$AJ$22,VLOOKUP($O107,СГИ!$O$3:$P$22,2),HLOOKUP(P$50,СГИ!$Q$1:$AJ$2,2))),"",INDEX(СГИ!$Q$3:$AJ$22,VLOOKUP($O107,СГИ!$O$3:$P$22,2),HLOOKUP(P$50,СГИ!$Q$1:$AJ$2,2)))=1,CONCATENATE("при измерении ",$O107," ",P$50," не допускается ! "),"")</f>
      </c>
      <c r="Q107" s="587">
        <f>IF(IF(ISNA(INDEX(СГИ!$Q$3:$AJ$22,VLOOKUP($O107,СГИ!$O$3:$P$22,2),HLOOKUP(Q$50,СГИ!$Q$1:$AJ$2,2))),"",INDEX(СГИ!$Q$3:$AJ$22,VLOOKUP($O107,СГИ!$O$3:$P$22,2),HLOOKUP(Q$50,СГИ!$Q$1:$AJ$2,2)))=1,CONCATENATE("при измерении ",$O107," ",Q$50," не допускается ! "),"")</f>
      </c>
      <c r="R107" s="587">
        <f>IF(IF(ISNA(INDEX(СГИ!$Q$3:$AJ$22,VLOOKUP($O107,СГИ!$O$3:$P$22,2),HLOOKUP(R$50,СГИ!$Q$1:$AJ$2,2))),"",INDEX(СГИ!$Q$3:$AJ$22,VLOOKUP($O107,СГИ!$O$3:$P$22,2),HLOOKUP(R$50,СГИ!$Q$1:$AJ$2,2)))=1,CONCATENATE("при измерении ",$O107," ",R$50," не допускается ! "),"")</f>
      </c>
      <c r="S107" s="587">
        <f>IF(IF(ISNA(INDEX(СГИ!$Q$3:$AJ$22,VLOOKUP($O107,СГИ!$O$3:$P$22,2),HLOOKUP(S$50,СГИ!$Q$1:$AJ$2,2))),"",INDEX(СГИ!$Q$3:$AJ$22,VLOOKUP($O107,СГИ!$O$3:$P$22,2),HLOOKUP(S$50,СГИ!$Q$1:$AJ$2,2)))=1,CONCATENATE("при измерении ",$O107," ",S$50," не допускается ! "),"")</f>
      </c>
      <c r="T107" s="587">
        <f>IF(IF(ISNA(INDEX(СГИ!$Q$3:$AJ$22,VLOOKUP($O107,СГИ!$O$3:$P$22,2),HLOOKUP(T$50,СГИ!$Q$1:$AJ$2,2))),"",INDEX(СГИ!$Q$3:$AJ$22,VLOOKUP($O107,СГИ!$O$3:$P$22,2),HLOOKUP(T$50,СГИ!$Q$1:$AJ$2,2)))=1,CONCATENATE("при измерении ",$O107," ",T$50," не допускается ! "),"")</f>
      </c>
      <c r="U107" s="587">
        <f>IF(IF(ISNA(INDEX(СГИ!$Q$3:$AJ$22,VLOOKUP($O107,СГИ!$O$3:$P$22,2),HLOOKUP(U$50,СГИ!$Q$1:$AJ$2,2))),"",INDEX(СГИ!$Q$3:$AJ$22,VLOOKUP($O107,СГИ!$O$3:$P$22,2),HLOOKUP(U$50,СГИ!$Q$1:$AJ$2,2)))=1,CONCATENATE("при измерении ",$O107," ",U$50," не допускается ! "),"")</f>
      </c>
      <c r="V107" s="587">
        <f>IF(IF(ISNA(INDEX(СГИ!$Q$3:$AJ$22,VLOOKUP($O107,СГИ!$O$3:$P$22,2),HLOOKUP(V$50,СГИ!$Q$1:$AJ$2,2))),"",INDEX(СГИ!$Q$3:$AJ$22,VLOOKUP($O107,СГИ!$O$3:$P$22,2),HLOOKUP(V$50,СГИ!$Q$1:$AJ$2,2)))=1,CONCATENATE("при измерении ",$O107," ",V$50," не допускается ! "),"")</f>
      </c>
      <c r="W107" s="587">
        <f>IF(IF(ISNA(INDEX(СГИ!$Q$3:$AJ$22,VLOOKUP($O107,СГИ!$O$3:$P$22,2),HLOOKUP(W$50,СГИ!$Q$1:$AJ$2,2))),"",INDEX(СГИ!$Q$3:$AJ$22,VLOOKUP($O107,СГИ!$O$3:$P$22,2),HLOOKUP(W$50,СГИ!$Q$1:$AJ$2,2)))=1,CONCATENATE("при измерении ",$O107," ",W$50," не допускается ! "),"")</f>
      </c>
      <c r="X107" s="587">
        <f>IF(IF(ISNA(INDEX(СГИ!$Q$3:$AJ$22,VLOOKUP($O107,СГИ!$O$3:$P$22,2),HLOOKUP(X$50,СГИ!$Q$1:$AJ$2,2))),"",INDEX(СГИ!$Q$3:$AJ$22,VLOOKUP($O107,СГИ!$O$3:$P$22,2),HLOOKUP(X$50,СГИ!$Q$1:$AJ$2,2)))=1,CONCATENATE("при измерении ",$O107," ",X$50," не допускается ! "),"")</f>
      </c>
      <c r="Y107" s="587">
        <f>IF(IF(ISNA(INDEX(СГИ!$Q$3:$AJ$22,VLOOKUP($O107,СГИ!$O$3:$P$22,2),HLOOKUP(Y$50,СГИ!$Q$1:$AJ$2,2))),"",INDEX(СГИ!$Q$3:$AJ$22,VLOOKUP($O107,СГИ!$O$3:$P$22,2),HLOOKUP(Y$50,СГИ!$Q$1:$AJ$2,2)))=1,CONCATENATE("при измерении ",$O107," ",Y$50," не допускается ! "),"")</f>
      </c>
      <c r="Z107" s="587">
        <f>IF(IF(ISNA(INDEX(СГИ!$Q$3:$AJ$22,VLOOKUP($O107,СГИ!$O$3:$P$22,2),HLOOKUP(Z$50,СГИ!$Q$1:$AJ$2,2))),"",INDEX(СГИ!$Q$3:$AJ$22,VLOOKUP($O107,СГИ!$O$3:$P$22,2),HLOOKUP(Z$50,СГИ!$Q$1:$AJ$2,2)))=1,CONCATENATE("при измерении ",$O107," ",Z$50," не допускается ! "),"")</f>
      </c>
      <c r="AA107" s="587">
        <f>IF(IF(ISNA(INDEX(СГИ!$Q$3:$AJ$22,VLOOKUP($O107,СГИ!$O$3:$P$22,2),HLOOKUP(AA$50,СГИ!$Q$1:$AJ$2,2))),"",INDEX(СГИ!$Q$3:$AJ$22,VLOOKUP($O107,СГИ!$O$3:$P$22,2),HLOOKUP(AA$50,СГИ!$Q$1:$AJ$2,2)))=1,CONCATENATE("при измерении ",$O107," ",AA$50," не допускается ! "),"")</f>
      </c>
      <c r="AB107" s="587">
        <f>IF(IF(ISNA(INDEX(СГИ!$Q$3:$AJ$22,VLOOKUP($O107,СГИ!$O$3:$P$22,2),HLOOKUP(AB$50,СГИ!$Q$1:$AJ$2,2))),"",INDEX(СГИ!$Q$3:$AJ$22,VLOOKUP($O107,СГИ!$O$3:$P$22,2),HLOOKUP(AB$50,СГИ!$Q$1:$AJ$2,2)))=1,CONCATENATE("при измерении ",$O107," ",AB$50," не допускается ! "),"")</f>
      </c>
      <c r="AC107" s="587">
        <f>IF(IF(ISNA(INDEX(СГИ!$Q$3:$AJ$22,VLOOKUP($O107,СГИ!$O$3:$P$22,2),HLOOKUP(AC$50,СГИ!$Q$1:$AJ$2,2))),"",INDEX(СГИ!$Q$3:$AJ$22,VLOOKUP($O107,СГИ!$O$3:$P$22,2),HLOOKUP(AC$50,СГИ!$Q$1:$AJ$2,2)))=1,CONCATENATE("при измерении ",$O107," ",AC$50," не допускается ! "),"")</f>
      </c>
      <c r="AD107" s="587">
        <f>IF(IF(ISNA(INDEX(СГИ!$Q$3:$AJ$22,VLOOKUP($O107,СГИ!$O$3:$P$22,2),HLOOKUP(AD$50,СГИ!$Q$1:$AJ$2,2))),"",INDEX(СГИ!$Q$3:$AJ$22,VLOOKUP($O107,СГИ!$O$3:$P$22,2),HLOOKUP(AD$50,СГИ!$Q$1:$AJ$2,2)))=1,CONCATENATE("при измерении ",$O107," ",AD$50," не допускается ! "),"")</f>
      </c>
      <c r="AE107" s="587">
        <f>IF(IF(ISNA(INDEX(СГИ!$Q$3:$AJ$22,VLOOKUP($O107,СГИ!$O$3:$P$22,2),HLOOKUP(AE$50,СГИ!$Q$1:$AJ$2,2))),"",INDEX(СГИ!$Q$3:$AJ$22,VLOOKUP($O107,СГИ!$O$3:$P$22,2),HLOOKUP(AE$50,СГИ!$Q$1:$AJ$2,2)))=1,CONCATENATE("при измерении ",$O107," ",AE$50," не допускается ! "),"")</f>
      </c>
      <c r="AF107" s="587">
        <f>IF(IF(ISNA(INDEX(СГИ!$Q$3:$AJ$22,VLOOKUP($O107,СГИ!$O$3:$P$22,2),HLOOKUP(AF$50,СГИ!$Q$1:$AJ$2,2))),"",INDEX(СГИ!$Q$3:$AJ$22,VLOOKUP($O107,СГИ!$O$3:$P$22,2),HLOOKUP(AF$50,СГИ!$Q$1:$AJ$2,2)))=1,CONCATENATE("при измерении ",$O107," ",AF$50," не допускается ! "),"")</f>
      </c>
      <c r="AG107" s="615">
        <f>IF(IF(ISNA(INDEX(СГИ!$Q$3:$AJ$22,VLOOKUP($O107,СГИ!$O$3:$P$22,2),HLOOKUP(AG$50,СГИ!$Q$1:$AJ$2,2))),"",INDEX(СГИ!$Q$3:$AJ$22,VLOOKUP($O107,СГИ!$O$3:$P$22,2),HLOOKUP(AG$50,СГИ!$Q$1:$AJ$2,2)))=1,CONCATENATE("при измерении ",$O107," ",AG$50," не допускается ! "),"")</f>
      </c>
      <c r="AH107" s="1">
        <f t="shared" si="2"/>
      </c>
      <c r="AJ107" s="892" t="s">
        <v>755</v>
      </c>
    </row>
    <row r="108" spans="1:36" ht="33" customHeight="1" thickBot="1">
      <c r="A108" s="575">
        <f>IF('И11-Переносные с вын. БД'!H47="",I93,"")</f>
      </c>
      <c r="G108" s="575">
        <f>IF(AND('И11-Переносные с вын. БД'!L51=1,SUM('И11-Переносные с вын. БД'!D54:D56)=1),IF(SUM('И11-Переносные с вын. БД'!D59:D68)&lt;2,"",I108),"")</f>
      </c>
      <c r="H108" s="847" t="s">
        <v>710</v>
      </c>
      <c r="I108" s="576" t="s">
        <v>640</v>
      </c>
      <c r="J108" s="763">
        <f>IF('И11-Переносные с вын. БД'!D58&gt;0,ПГ!D58,"")</f>
      </c>
      <c r="K108" s="766"/>
      <c r="L108" s="749"/>
      <c r="M108" s="557"/>
      <c r="N108" s="561"/>
      <c r="O108" s="614">
        <f>MID('И11-Переносные с вын. БД'!I64,2,9)</f>
      </c>
      <c r="P108" s="587">
        <f>IF(IF(ISNA(INDEX(СГИ!$Q$3:$AJ$22,VLOOKUP($O108,СГИ!$O$3:$P$22,2),HLOOKUP(P$50,СГИ!$Q$1:$AJ$2,2))),"",INDEX(СГИ!$Q$3:$AJ$22,VLOOKUP($O108,СГИ!$O$3:$P$22,2),HLOOKUP(P$50,СГИ!$Q$1:$AJ$2,2)))=1,CONCATENATE("при измерении ",$O108," ",P$50," не допускается ! "),"")</f>
      </c>
      <c r="Q108" s="587">
        <f>IF(IF(ISNA(INDEX(СГИ!$Q$3:$AJ$22,VLOOKUP($O108,СГИ!$O$3:$P$22,2),HLOOKUP(Q$50,СГИ!$Q$1:$AJ$2,2))),"",INDEX(СГИ!$Q$3:$AJ$22,VLOOKUP($O108,СГИ!$O$3:$P$22,2),HLOOKUP(Q$50,СГИ!$Q$1:$AJ$2,2)))=1,CONCATENATE("при измерении ",$O108," ",Q$50," не допускается ! "),"")</f>
      </c>
      <c r="R108" s="587">
        <f>IF(IF(ISNA(INDEX(СГИ!$Q$3:$AJ$22,VLOOKUP($O108,СГИ!$O$3:$P$22,2),HLOOKUP(R$50,СГИ!$Q$1:$AJ$2,2))),"",INDEX(СГИ!$Q$3:$AJ$22,VLOOKUP($O108,СГИ!$O$3:$P$22,2),HLOOKUP(R$50,СГИ!$Q$1:$AJ$2,2)))=1,CONCATENATE("при измерении ",$O108," ",R$50," не допускается ! "),"")</f>
      </c>
      <c r="S108" s="587">
        <f>IF(IF(ISNA(INDEX(СГИ!$Q$3:$AJ$22,VLOOKUP($O108,СГИ!$O$3:$P$22,2),HLOOKUP(S$50,СГИ!$Q$1:$AJ$2,2))),"",INDEX(СГИ!$Q$3:$AJ$22,VLOOKUP($O108,СГИ!$O$3:$P$22,2),HLOOKUP(S$50,СГИ!$Q$1:$AJ$2,2)))=1,CONCATENATE("при измерении ",$O108," ",S$50," не допускается ! "),"")</f>
      </c>
      <c r="T108" s="587">
        <f>IF(IF(ISNA(INDEX(СГИ!$Q$3:$AJ$22,VLOOKUP($O108,СГИ!$O$3:$P$22,2),HLOOKUP(T$50,СГИ!$Q$1:$AJ$2,2))),"",INDEX(СГИ!$Q$3:$AJ$22,VLOOKUP($O108,СГИ!$O$3:$P$22,2),HLOOKUP(T$50,СГИ!$Q$1:$AJ$2,2)))=1,CONCATENATE("при измерении ",$O108," ",T$50," не допускается ! "),"")</f>
      </c>
      <c r="U108" s="587">
        <f>IF(IF(ISNA(INDEX(СГИ!$Q$3:$AJ$22,VLOOKUP($O108,СГИ!$O$3:$P$22,2),HLOOKUP(U$50,СГИ!$Q$1:$AJ$2,2))),"",INDEX(СГИ!$Q$3:$AJ$22,VLOOKUP($O108,СГИ!$O$3:$P$22,2),HLOOKUP(U$50,СГИ!$Q$1:$AJ$2,2)))=1,CONCATENATE("при измерении ",$O108," ",U$50," не допускается ! "),"")</f>
      </c>
      <c r="V108" s="587">
        <f>IF(IF(ISNA(INDEX(СГИ!$Q$3:$AJ$22,VLOOKUP($O108,СГИ!$O$3:$P$22,2),HLOOKUP(V$50,СГИ!$Q$1:$AJ$2,2))),"",INDEX(СГИ!$Q$3:$AJ$22,VLOOKUP($O108,СГИ!$O$3:$P$22,2),HLOOKUP(V$50,СГИ!$Q$1:$AJ$2,2)))=1,CONCATENATE("при измерении ",$O108," ",V$50," не допускается ! "),"")</f>
      </c>
      <c r="W108" s="587">
        <f>IF(IF(ISNA(INDEX(СГИ!$Q$3:$AJ$22,VLOOKUP($O108,СГИ!$O$3:$P$22,2),HLOOKUP(W$50,СГИ!$Q$1:$AJ$2,2))),"",INDEX(СГИ!$Q$3:$AJ$22,VLOOKUP($O108,СГИ!$O$3:$P$22,2),HLOOKUP(W$50,СГИ!$Q$1:$AJ$2,2)))=1,CONCATENATE("при измерении ",$O108," ",W$50," не допускается ! "),"")</f>
      </c>
      <c r="X108" s="587">
        <f>IF(IF(ISNA(INDEX(СГИ!$Q$3:$AJ$22,VLOOKUP($O108,СГИ!$O$3:$P$22,2),HLOOKUP(X$50,СГИ!$Q$1:$AJ$2,2))),"",INDEX(СГИ!$Q$3:$AJ$22,VLOOKUP($O108,СГИ!$O$3:$P$22,2),HLOOKUP(X$50,СГИ!$Q$1:$AJ$2,2)))=1,CONCATENATE("при измерении ",$O108," ",X$50," не допускается ! "),"")</f>
      </c>
      <c r="Y108" s="587">
        <f>IF(IF(ISNA(INDEX(СГИ!$Q$3:$AJ$22,VLOOKUP($O108,СГИ!$O$3:$P$22,2),HLOOKUP(Y$50,СГИ!$Q$1:$AJ$2,2))),"",INDEX(СГИ!$Q$3:$AJ$22,VLOOKUP($O108,СГИ!$O$3:$P$22,2),HLOOKUP(Y$50,СГИ!$Q$1:$AJ$2,2)))=1,CONCATENATE("при измерении ",$O108," ",Y$50," не допускается ! "),"")</f>
      </c>
      <c r="Z108" s="587">
        <f>IF(IF(ISNA(INDEX(СГИ!$Q$3:$AJ$22,VLOOKUP($O108,СГИ!$O$3:$P$22,2),HLOOKUP(Z$50,СГИ!$Q$1:$AJ$2,2))),"",INDEX(СГИ!$Q$3:$AJ$22,VLOOKUP($O108,СГИ!$O$3:$P$22,2),HLOOKUP(Z$50,СГИ!$Q$1:$AJ$2,2)))=1,CONCATENATE("при измерении ",$O108," ",Z$50," не допускается ! "),"")</f>
      </c>
      <c r="AA108" s="587">
        <f>IF(IF(ISNA(INDEX(СГИ!$Q$3:$AJ$22,VLOOKUP($O108,СГИ!$O$3:$P$22,2),HLOOKUP(AA$50,СГИ!$Q$1:$AJ$2,2))),"",INDEX(СГИ!$Q$3:$AJ$22,VLOOKUP($O108,СГИ!$O$3:$P$22,2),HLOOKUP(AA$50,СГИ!$Q$1:$AJ$2,2)))=1,CONCATENATE("при измерении ",$O108," ",AA$50," не допускается ! "),"")</f>
      </c>
      <c r="AB108" s="587">
        <f>IF(IF(ISNA(INDEX(СГИ!$Q$3:$AJ$22,VLOOKUP($O108,СГИ!$O$3:$P$22,2),HLOOKUP(AB$50,СГИ!$Q$1:$AJ$2,2))),"",INDEX(СГИ!$Q$3:$AJ$22,VLOOKUP($O108,СГИ!$O$3:$P$22,2),HLOOKUP(AB$50,СГИ!$Q$1:$AJ$2,2)))=1,CONCATENATE("при измерении ",$O108," ",AB$50," не допускается ! "),"")</f>
      </c>
      <c r="AC108" s="587">
        <f>IF(IF(ISNA(INDEX(СГИ!$Q$3:$AJ$22,VLOOKUP($O108,СГИ!$O$3:$P$22,2),HLOOKUP(AC$50,СГИ!$Q$1:$AJ$2,2))),"",INDEX(СГИ!$Q$3:$AJ$22,VLOOKUP($O108,СГИ!$O$3:$P$22,2),HLOOKUP(AC$50,СГИ!$Q$1:$AJ$2,2)))=1,CONCATENATE("при измерении ",$O108," ",AC$50," не допускается ! "),"")</f>
      </c>
      <c r="AD108" s="587">
        <f>IF(IF(ISNA(INDEX(СГИ!$Q$3:$AJ$22,VLOOKUP($O108,СГИ!$O$3:$P$22,2),HLOOKUP(AD$50,СГИ!$Q$1:$AJ$2,2))),"",INDEX(СГИ!$Q$3:$AJ$22,VLOOKUP($O108,СГИ!$O$3:$P$22,2),HLOOKUP(AD$50,СГИ!$Q$1:$AJ$2,2)))=1,CONCATENATE("при измерении ",$O108," ",AD$50," не допускается ! "),"")</f>
      </c>
      <c r="AE108" s="587">
        <f>IF(IF(ISNA(INDEX(СГИ!$Q$3:$AJ$22,VLOOKUP($O108,СГИ!$O$3:$P$22,2),HLOOKUP(AE$50,СГИ!$Q$1:$AJ$2,2))),"",INDEX(СГИ!$Q$3:$AJ$22,VLOOKUP($O108,СГИ!$O$3:$P$22,2),HLOOKUP(AE$50,СГИ!$Q$1:$AJ$2,2)))=1,CONCATENATE("при измерении ",$O108," ",AE$50," не допускается ! "),"")</f>
      </c>
      <c r="AF108" s="587">
        <f>IF(IF(ISNA(INDEX(СГИ!$Q$3:$AJ$22,VLOOKUP($O108,СГИ!$O$3:$P$22,2),HLOOKUP(AF$50,СГИ!$Q$1:$AJ$2,2))),"",INDEX(СГИ!$Q$3:$AJ$22,VLOOKUP($O108,СГИ!$O$3:$P$22,2),HLOOKUP(AF$50,СГИ!$Q$1:$AJ$2,2)))=1,CONCATENATE("при измерении ",$O108," ",AF$50," не допускается ! "),"")</f>
      </c>
      <c r="AG108" s="615">
        <f>IF(IF(ISNA(INDEX(СГИ!$Q$3:$AJ$22,VLOOKUP($O108,СГИ!$O$3:$P$22,2),HLOOKUP(AG$50,СГИ!$Q$1:$AJ$2,2))),"",INDEX(СГИ!$Q$3:$AJ$22,VLOOKUP($O108,СГИ!$O$3:$P$22,2),HLOOKUP(AG$50,СГИ!$Q$1:$AJ$2,2)))=1,CONCATENATE("при измерении ",$O108," ",AG$50," не допускается ! "),"")</f>
      </c>
      <c r="AH108" s="1">
        <f t="shared" si="2"/>
      </c>
      <c r="AJ108" s="892" t="s">
        <v>756</v>
      </c>
    </row>
    <row r="109" spans="2:34" ht="33" customHeight="1" thickBot="1">
      <c r="B109"/>
      <c r="G109" s="575">
        <f>IF(AND('И11-Переносные с вын. БД'!L51=1,SUM('И11-Переносные с вын. БД'!D54:D56)=1),IF(SUM('И11-Переносные с вын. БД'!D57:D58)&lt;1,"",I109),"")</f>
      </c>
      <c r="H109" s="847" t="s">
        <v>711</v>
      </c>
      <c r="I109" s="576" t="s">
        <v>641</v>
      </c>
      <c r="J109" s="763">
        <f>IF('И11-Переносные с вын. БД'!D65&gt;0,ПГ!D65,"")</f>
      </c>
      <c r="K109" s="766"/>
      <c r="L109" s="749"/>
      <c r="M109" s="557"/>
      <c r="N109" s="561"/>
      <c r="O109" s="614">
        <f>MID('И11-Переносные с вын. БД'!I65,2,9)</f>
      </c>
      <c r="P109" s="587">
        <f>IF(IF(ISNA(INDEX(СГИ!$Q$3:$AJ$22,VLOOKUP($O109,СГИ!$O$3:$P$22,2),HLOOKUP(P$50,СГИ!$Q$1:$AJ$2,2))),"",INDEX(СГИ!$Q$3:$AJ$22,VLOOKUP($O109,СГИ!$O$3:$P$22,2),HLOOKUP(P$50,СГИ!$Q$1:$AJ$2,2)))=1,CONCATENATE("при измерении ",$O109," ",P$50," не допускается ! "),"")</f>
      </c>
      <c r="Q109" s="587">
        <f>IF(IF(ISNA(INDEX(СГИ!$Q$3:$AJ$22,VLOOKUP($O109,СГИ!$O$3:$P$22,2),HLOOKUP(Q$50,СГИ!$Q$1:$AJ$2,2))),"",INDEX(СГИ!$Q$3:$AJ$22,VLOOKUP($O109,СГИ!$O$3:$P$22,2),HLOOKUP(Q$50,СГИ!$Q$1:$AJ$2,2)))=1,CONCATENATE("при измерении ",$O109," ",Q$50," не допускается ! "),"")</f>
      </c>
      <c r="R109" s="587">
        <f>IF(IF(ISNA(INDEX(СГИ!$Q$3:$AJ$22,VLOOKUP($O109,СГИ!$O$3:$P$22,2),HLOOKUP(R$50,СГИ!$Q$1:$AJ$2,2))),"",INDEX(СГИ!$Q$3:$AJ$22,VLOOKUP($O109,СГИ!$O$3:$P$22,2),HLOOKUP(R$50,СГИ!$Q$1:$AJ$2,2)))=1,CONCATENATE("при измерении ",$O109," ",R$50," не допускается ! "),"")</f>
      </c>
      <c r="S109" s="587">
        <f>IF(IF(ISNA(INDEX(СГИ!$Q$3:$AJ$22,VLOOKUP($O109,СГИ!$O$3:$P$22,2),HLOOKUP(S$50,СГИ!$Q$1:$AJ$2,2))),"",INDEX(СГИ!$Q$3:$AJ$22,VLOOKUP($O109,СГИ!$O$3:$P$22,2),HLOOKUP(S$50,СГИ!$Q$1:$AJ$2,2)))=1,CONCATENATE("при измерении ",$O109," ",S$50," не допускается ! "),"")</f>
      </c>
      <c r="T109" s="587">
        <f>IF(IF(ISNA(INDEX(СГИ!$Q$3:$AJ$22,VLOOKUP($O109,СГИ!$O$3:$P$22,2),HLOOKUP(T$50,СГИ!$Q$1:$AJ$2,2))),"",INDEX(СГИ!$Q$3:$AJ$22,VLOOKUP($O109,СГИ!$O$3:$P$22,2),HLOOKUP(T$50,СГИ!$Q$1:$AJ$2,2)))=1,CONCATENATE("при измерении ",$O109," ",T$50," не допускается ! "),"")</f>
      </c>
      <c r="U109" s="587">
        <f>IF(IF(ISNA(INDEX(СГИ!$Q$3:$AJ$22,VLOOKUP($O109,СГИ!$O$3:$P$22,2),HLOOKUP(U$50,СГИ!$Q$1:$AJ$2,2))),"",INDEX(СГИ!$Q$3:$AJ$22,VLOOKUP($O109,СГИ!$O$3:$P$22,2),HLOOKUP(U$50,СГИ!$Q$1:$AJ$2,2)))=1,CONCATENATE("при измерении ",$O109," ",U$50," не допускается ! "),"")</f>
      </c>
      <c r="V109" s="587">
        <f>IF(IF(ISNA(INDEX(СГИ!$Q$3:$AJ$22,VLOOKUP($O109,СГИ!$O$3:$P$22,2),HLOOKUP(V$50,СГИ!$Q$1:$AJ$2,2))),"",INDEX(СГИ!$Q$3:$AJ$22,VLOOKUP($O109,СГИ!$O$3:$P$22,2),HLOOKUP(V$50,СГИ!$Q$1:$AJ$2,2)))=1,CONCATENATE("при измерении ",$O109," ",V$50," не допускается ! "),"")</f>
      </c>
      <c r="W109" s="587">
        <f>IF(IF(ISNA(INDEX(СГИ!$Q$3:$AJ$22,VLOOKUP($O109,СГИ!$O$3:$P$22,2),HLOOKUP(W$50,СГИ!$Q$1:$AJ$2,2))),"",INDEX(СГИ!$Q$3:$AJ$22,VLOOKUP($O109,СГИ!$O$3:$P$22,2),HLOOKUP(W$50,СГИ!$Q$1:$AJ$2,2)))=1,CONCATENATE("при измерении ",$O109," ",W$50," не допускается ! "),"")</f>
      </c>
      <c r="X109" s="587">
        <f>IF(IF(ISNA(INDEX(СГИ!$Q$3:$AJ$22,VLOOKUP($O109,СГИ!$O$3:$P$22,2),HLOOKUP(X$50,СГИ!$Q$1:$AJ$2,2))),"",INDEX(СГИ!$Q$3:$AJ$22,VLOOKUP($O109,СГИ!$O$3:$P$22,2),HLOOKUP(X$50,СГИ!$Q$1:$AJ$2,2)))=1,CONCATENATE("при измерении ",$O109," ",X$50," не допускается ! "),"")</f>
      </c>
      <c r="Y109" s="587">
        <f>IF(IF(ISNA(INDEX(СГИ!$Q$3:$AJ$22,VLOOKUP($O109,СГИ!$O$3:$P$22,2),HLOOKUP(Y$50,СГИ!$Q$1:$AJ$2,2))),"",INDEX(СГИ!$Q$3:$AJ$22,VLOOKUP($O109,СГИ!$O$3:$P$22,2),HLOOKUP(Y$50,СГИ!$Q$1:$AJ$2,2)))=1,CONCATENATE("при измерении ",$O109," ",Y$50," не допускается ! "),"")</f>
      </c>
      <c r="Z109" s="587">
        <f>IF(IF(ISNA(INDEX(СГИ!$Q$3:$AJ$22,VLOOKUP($O109,СГИ!$O$3:$P$22,2),HLOOKUP(Z$50,СГИ!$Q$1:$AJ$2,2))),"",INDEX(СГИ!$Q$3:$AJ$22,VLOOKUP($O109,СГИ!$O$3:$P$22,2),HLOOKUP(Z$50,СГИ!$Q$1:$AJ$2,2)))=1,CONCATENATE("при измерении ",$O109," ",Z$50," не допускается ! "),"")</f>
      </c>
      <c r="AA109" s="587">
        <f>IF(IF(ISNA(INDEX(СГИ!$Q$3:$AJ$22,VLOOKUP($O109,СГИ!$O$3:$P$22,2),HLOOKUP(AA$50,СГИ!$Q$1:$AJ$2,2))),"",INDEX(СГИ!$Q$3:$AJ$22,VLOOKUP($O109,СГИ!$O$3:$P$22,2),HLOOKUP(AA$50,СГИ!$Q$1:$AJ$2,2)))=1,CONCATENATE("при измерении ",$O109," ",AA$50," не допускается ! "),"")</f>
      </c>
      <c r="AB109" s="587">
        <f>IF(IF(ISNA(INDEX(СГИ!$Q$3:$AJ$22,VLOOKUP($O109,СГИ!$O$3:$P$22,2),HLOOKUP(AB$50,СГИ!$Q$1:$AJ$2,2))),"",INDEX(СГИ!$Q$3:$AJ$22,VLOOKUP($O109,СГИ!$O$3:$P$22,2),HLOOKUP(AB$50,СГИ!$Q$1:$AJ$2,2)))=1,CONCATENATE("при измерении ",$O109," ",AB$50," не допускается ! "),"")</f>
      </c>
      <c r="AC109" s="587">
        <f>IF(IF(ISNA(INDEX(СГИ!$Q$3:$AJ$22,VLOOKUP($O109,СГИ!$O$3:$P$22,2),HLOOKUP(AC$50,СГИ!$Q$1:$AJ$2,2))),"",INDEX(СГИ!$Q$3:$AJ$22,VLOOKUP($O109,СГИ!$O$3:$P$22,2),HLOOKUP(AC$50,СГИ!$Q$1:$AJ$2,2)))=1,CONCATENATE("при измерении ",$O109," ",AC$50," не допускается ! "),"")</f>
      </c>
      <c r="AD109" s="587">
        <f>IF(IF(ISNA(INDEX(СГИ!$Q$3:$AJ$22,VLOOKUP($O109,СГИ!$O$3:$P$22,2),HLOOKUP(AD$50,СГИ!$Q$1:$AJ$2,2))),"",INDEX(СГИ!$Q$3:$AJ$22,VLOOKUP($O109,СГИ!$O$3:$P$22,2),HLOOKUP(AD$50,СГИ!$Q$1:$AJ$2,2)))=1,CONCATENATE("при измерении ",$O109," ",AD$50," не допускается ! "),"")</f>
      </c>
      <c r="AE109" s="587">
        <f>IF(IF(ISNA(INDEX(СГИ!$Q$3:$AJ$22,VLOOKUP($O109,СГИ!$O$3:$P$22,2),HLOOKUP(AE$50,СГИ!$Q$1:$AJ$2,2))),"",INDEX(СГИ!$Q$3:$AJ$22,VLOOKUP($O109,СГИ!$O$3:$P$22,2),HLOOKUP(AE$50,СГИ!$Q$1:$AJ$2,2)))=1,CONCATENATE("при измерении ",$O109," ",AE$50," не допускается ! "),"")</f>
      </c>
      <c r="AF109" s="587">
        <f>IF(IF(ISNA(INDEX(СГИ!$Q$3:$AJ$22,VLOOKUP($O109,СГИ!$O$3:$P$22,2),HLOOKUP(AF$50,СГИ!$Q$1:$AJ$2,2))),"",INDEX(СГИ!$Q$3:$AJ$22,VLOOKUP($O109,СГИ!$O$3:$P$22,2),HLOOKUP(AF$50,СГИ!$Q$1:$AJ$2,2)))=1,CONCATENATE("при измерении ",$O109," ",AF$50," не допускается ! "),"")</f>
      </c>
      <c r="AG109" s="615">
        <f>IF(IF(ISNA(INDEX(СГИ!$Q$3:$AJ$22,VLOOKUP($O109,СГИ!$O$3:$P$22,2),HLOOKUP(AG$50,СГИ!$Q$1:$AJ$2,2))),"",INDEX(СГИ!$Q$3:$AJ$22,VLOOKUP($O109,СГИ!$O$3:$P$22,2),HLOOKUP(AG$50,СГИ!$Q$1:$AJ$2,2)))=1,CONCATENATE("при измерении ",$O109," ",AG$50," не допускается ! "),"")</f>
      </c>
      <c r="AH109" s="1">
        <f t="shared" si="2"/>
      </c>
    </row>
    <row r="110" spans="1:34" ht="33" customHeight="1" thickBot="1">
      <c r="A110" s="826" t="s">
        <v>679</v>
      </c>
      <c r="B110"/>
      <c r="C110" s="828" t="s">
        <v>703</v>
      </c>
      <c r="E110" s="827" t="s">
        <v>704</v>
      </c>
      <c r="G110" s="575">
        <f>IF('И11-Переносные с вын. БД'!L51=1,IF(SUM('И11-Переносные с вын. БД'!D59:D68)&lt;3,"",I106),"")</f>
      </c>
      <c r="H110" s="847" t="s">
        <v>712</v>
      </c>
      <c r="I110" s="1" t="s">
        <v>558</v>
      </c>
      <c r="J110" s="763">
        <f>IF('И11-Переносные с вын. БД'!D66&gt;0,ПГ!D66,"")</f>
      </c>
      <c r="K110" s="766"/>
      <c r="L110" s="749"/>
      <c r="M110" s="557"/>
      <c r="N110" s="561"/>
      <c r="O110" s="614">
        <f>MID('И11-Переносные с вын. БД'!I66,2,9)</f>
      </c>
      <c r="P110" s="587">
        <f>IF(IF(ISNA(INDEX(СГИ!$Q$3:$AJ$22,VLOOKUP($O110,СГИ!$O$3:$P$22,2),HLOOKUP(P$50,СГИ!$Q$1:$AJ$2,2))),"",INDEX(СГИ!$Q$3:$AJ$22,VLOOKUP($O110,СГИ!$O$3:$P$22,2),HLOOKUP(P$50,СГИ!$Q$1:$AJ$2,2)))=1,CONCATENATE("при измерении ",$O110," ",P$50," не допускается ! "),"")</f>
      </c>
      <c r="Q110" s="587">
        <f>IF(IF(ISNA(INDEX(СГИ!$Q$3:$AJ$22,VLOOKUP($O110,СГИ!$O$3:$P$22,2),HLOOKUP(Q$50,СГИ!$Q$1:$AJ$2,2))),"",INDEX(СГИ!$Q$3:$AJ$22,VLOOKUP($O110,СГИ!$O$3:$P$22,2),HLOOKUP(Q$50,СГИ!$Q$1:$AJ$2,2)))=1,CONCATENATE("при измерении ",$O110," ",Q$50," не допускается ! "),"")</f>
      </c>
      <c r="R110" s="587">
        <f>IF(IF(ISNA(INDEX(СГИ!$Q$3:$AJ$22,VLOOKUP($O110,СГИ!$O$3:$P$22,2),HLOOKUP(R$50,СГИ!$Q$1:$AJ$2,2))),"",INDEX(СГИ!$Q$3:$AJ$22,VLOOKUP($O110,СГИ!$O$3:$P$22,2),HLOOKUP(R$50,СГИ!$Q$1:$AJ$2,2)))=1,CONCATENATE("при измерении ",$O110," ",R$50," не допускается ! "),"")</f>
      </c>
      <c r="S110" s="587">
        <f>IF(IF(ISNA(INDEX(СГИ!$Q$3:$AJ$22,VLOOKUP($O110,СГИ!$O$3:$P$22,2),HLOOKUP(S$50,СГИ!$Q$1:$AJ$2,2))),"",INDEX(СГИ!$Q$3:$AJ$22,VLOOKUP($O110,СГИ!$O$3:$P$22,2),HLOOKUP(S$50,СГИ!$Q$1:$AJ$2,2)))=1,CONCATENATE("при измерении ",$O110," ",S$50," не допускается ! "),"")</f>
      </c>
      <c r="T110" s="587">
        <f>IF(IF(ISNA(INDEX(СГИ!$Q$3:$AJ$22,VLOOKUP($O110,СГИ!$O$3:$P$22,2),HLOOKUP(T$50,СГИ!$Q$1:$AJ$2,2))),"",INDEX(СГИ!$Q$3:$AJ$22,VLOOKUP($O110,СГИ!$O$3:$P$22,2),HLOOKUP(T$50,СГИ!$Q$1:$AJ$2,2)))=1,CONCATENATE("при измерении ",$O110," ",T$50," не допускается ! "),"")</f>
      </c>
      <c r="U110" s="587">
        <f>IF(IF(ISNA(INDEX(СГИ!$Q$3:$AJ$22,VLOOKUP($O110,СГИ!$O$3:$P$22,2),HLOOKUP(U$50,СГИ!$Q$1:$AJ$2,2))),"",INDEX(СГИ!$Q$3:$AJ$22,VLOOKUP($O110,СГИ!$O$3:$P$22,2),HLOOKUP(U$50,СГИ!$Q$1:$AJ$2,2)))=1,CONCATENATE("при измерении ",$O110," ",U$50," не допускается ! "),"")</f>
      </c>
      <c r="V110" s="587">
        <f>IF(IF(ISNA(INDEX(СГИ!$Q$3:$AJ$22,VLOOKUP($O110,СГИ!$O$3:$P$22,2),HLOOKUP(V$50,СГИ!$Q$1:$AJ$2,2))),"",INDEX(СГИ!$Q$3:$AJ$22,VLOOKUP($O110,СГИ!$O$3:$P$22,2),HLOOKUP(V$50,СГИ!$Q$1:$AJ$2,2)))=1,CONCATENATE("при измерении ",$O110," ",V$50," не допускается ! "),"")</f>
      </c>
      <c r="W110" s="587">
        <f>IF(IF(ISNA(INDEX(СГИ!$Q$3:$AJ$22,VLOOKUP($O110,СГИ!$O$3:$P$22,2),HLOOKUP(W$50,СГИ!$Q$1:$AJ$2,2))),"",INDEX(СГИ!$Q$3:$AJ$22,VLOOKUP($O110,СГИ!$O$3:$P$22,2),HLOOKUP(W$50,СГИ!$Q$1:$AJ$2,2)))=1,CONCATENATE("при измерении ",$O110," ",W$50," не допускается ! "),"")</f>
      </c>
      <c r="X110" s="587">
        <f>IF(IF(ISNA(INDEX(СГИ!$Q$3:$AJ$22,VLOOKUP($O110,СГИ!$O$3:$P$22,2),HLOOKUP(X$50,СГИ!$Q$1:$AJ$2,2))),"",INDEX(СГИ!$Q$3:$AJ$22,VLOOKUP($O110,СГИ!$O$3:$P$22,2),HLOOKUP(X$50,СГИ!$Q$1:$AJ$2,2)))=1,CONCATENATE("при измерении ",$O110," ",X$50," не допускается ! "),"")</f>
      </c>
      <c r="Y110" s="587">
        <f>IF(IF(ISNA(INDEX(СГИ!$Q$3:$AJ$22,VLOOKUP($O110,СГИ!$O$3:$P$22,2),HLOOKUP(Y$50,СГИ!$Q$1:$AJ$2,2))),"",INDEX(СГИ!$Q$3:$AJ$22,VLOOKUP($O110,СГИ!$O$3:$P$22,2),HLOOKUP(Y$50,СГИ!$Q$1:$AJ$2,2)))=1,CONCATENATE("при измерении ",$O110," ",Y$50," не допускается ! "),"")</f>
      </c>
      <c r="Z110" s="587">
        <f>IF(IF(ISNA(INDEX(СГИ!$Q$3:$AJ$22,VLOOKUP($O110,СГИ!$O$3:$P$22,2),HLOOKUP(Z$50,СГИ!$Q$1:$AJ$2,2))),"",INDEX(СГИ!$Q$3:$AJ$22,VLOOKUP($O110,СГИ!$O$3:$P$22,2),HLOOKUP(Z$50,СГИ!$Q$1:$AJ$2,2)))=1,CONCATENATE("при измерении ",$O110," ",Z$50," не допускается ! "),"")</f>
      </c>
      <c r="AA110" s="587">
        <f>IF(IF(ISNA(INDEX(СГИ!$Q$3:$AJ$22,VLOOKUP($O110,СГИ!$O$3:$P$22,2),HLOOKUP(AA$50,СГИ!$Q$1:$AJ$2,2))),"",INDEX(СГИ!$Q$3:$AJ$22,VLOOKUP($O110,СГИ!$O$3:$P$22,2),HLOOKUP(AA$50,СГИ!$Q$1:$AJ$2,2)))=1,CONCATENATE("при измерении ",$O110," ",AA$50," не допускается ! "),"")</f>
      </c>
      <c r="AB110" s="587">
        <f>IF(IF(ISNA(INDEX(СГИ!$Q$3:$AJ$22,VLOOKUP($O110,СГИ!$O$3:$P$22,2),HLOOKUP(AB$50,СГИ!$Q$1:$AJ$2,2))),"",INDEX(СГИ!$Q$3:$AJ$22,VLOOKUP($O110,СГИ!$O$3:$P$22,2),HLOOKUP(AB$50,СГИ!$Q$1:$AJ$2,2)))=1,CONCATENATE("при измерении ",$O110," ",AB$50," не допускается ! "),"")</f>
      </c>
      <c r="AC110" s="587">
        <f>IF(IF(ISNA(INDEX(СГИ!$Q$3:$AJ$22,VLOOKUP($O110,СГИ!$O$3:$P$22,2),HLOOKUP(AC$50,СГИ!$Q$1:$AJ$2,2))),"",INDEX(СГИ!$Q$3:$AJ$22,VLOOKUP($O110,СГИ!$O$3:$P$22,2),HLOOKUP(AC$50,СГИ!$Q$1:$AJ$2,2)))=1,CONCATENATE("при измерении ",$O110," ",AC$50," не допускается ! "),"")</f>
      </c>
      <c r="AD110" s="587">
        <f>IF(IF(ISNA(INDEX(СГИ!$Q$3:$AJ$22,VLOOKUP($O110,СГИ!$O$3:$P$22,2),HLOOKUP(AD$50,СГИ!$Q$1:$AJ$2,2))),"",INDEX(СГИ!$Q$3:$AJ$22,VLOOKUP($O110,СГИ!$O$3:$P$22,2),HLOOKUP(AD$50,СГИ!$Q$1:$AJ$2,2)))=1,CONCATENATE("при измерении ",$O110," ",AD$50," не допускается ! "),"")</f>
      </c>
      <c r="AE110" s="587">
        <f>IF(IF(ISNA(INDEX(СГИ!$Q$3:$AJ$22,VLOOKUP($O110,СГИ!$O$3:$P$22,2),HLOOKUP(AE$50,СГИ!$Q$1:$AJ$2,2))),"",INDEX(СГИ!$Q$3:$AJ$22,VLOOKUP($O110,СГИ!$O$3:$P$22,2),HLOOKUP(AE$50,СГИ!$Q$1:$AJ$2,2)))=1,CONCATENATE("при измерении ",$O110," ",AE$50," не допускается ! "),"")</f>
      </c>
      <c r="AF110" s="587">
        <f>IF(IF(ISNA(INDEX(СГИ!$Q$3:$AJ$22,VLOOKUP($O110,СГИ!$O$3:$P$22,2),HLOOKUP(AF$50,СГИ!$Q$1:$AJ$2,2))),"",INDEX(СГИ!$Q$3:$AJ$22,VLOOKUP($O110,СГИ!$O$3:$P$22,2),HLOOKUP(AF$50,СГИ!$Q$1:$AJ$2,2)))=1,CONCATENATE("при измерении ",$O110," ",AF$50," не допускается ! "),"")</f>
      </c>
      <c r="AG110" s="615">
        <f>IF(IF(ISNA(INDEX(СГИ!$Q$3:$AJ$22,VLOOKUP($O110,СГИ!$O$3:$P$22,2),HLOOKUP(AG$50,СГИ!$Q$1:$AJ$2,2))),"",INDEX(СГИ!$Q$3:$AJ$22,VLOOKUP($O110,СГИ!$O$3:$P$22,2),HLOOKUP(AG$50,СГИ!$Q$1:$AJ$2,2)))=1,CONCATENATE("при измерении ",$O110," ",AG$50," не допускается ! "),"")</f>
      </c>
      <c r="AH110" s="1">
        <f t="shared" si="2"/>
      </c>
    </row>
    <row r="111" spans="1:34" ht="33" customHeight="1" thickBot="1">
      <c r="A111" s="492" t="str">
        <f>AJ92</f>
        <v>-И11</v>
      </c>
      <c r="B111" s="837" t="s">
        <v>659</v>
      </c>
      <c r="C111" s="575" t="str">
        <f>IF(E111="",C113,E111)</f>
        <v>ЦЕНЫ без взрывозащиты</v>
      </c>
      <c r="E111" s="575">
        <f>IF(E113="",IF(E114="",IF(E115="","",E115),E114),E113)</f>
      </c>
      <c r="G111" s="575">
        <f>IF(AND('И11-Переносные с вын. БД'!L51=1,'И11-Переносные с вын. БД'!J71&gt;4),$I$52,"")</f>
      </c>
      <c r="H111" s="847" t="s">
        <v>722</v>
      </c>
      <c r="I111" s="1" t="s">
        <v>560</v>
      </c>
      <c r="J111" s="763">
        <f>IF('И11-Переносные с вын. БД'!D67&gt;0,ПГ!D67,"")</f>
      </c>
      <c r="K111" s="766"/>
      <c r="L111" s="749"/>
      <c r="M111" s="557"/>
      <c r="N111" s="561"/>
      <c r="O111" s="614">
        <f>MID('И11-Переносные с вын. БД'!I67,2,9)</f>
      </c>
      <c r="P111" s="587">
        <f>IF(IF(ISNA(INDEX(СГИ!$Q$3:$AJ$22,VLOOKUP($O111,СГИ!$O$3:$P$22,2),HLOOKUP(P$50,СГИ!$Q$1:$AJ$2,2))),"",INDEX(СГИ!$Q$3:$AJ$22,VLOOKUP($O111,СГИ!$O$3:$P$22,2),HLOOKUP(P$50,СГИ!$Q$1:$AJ$2,2)))=1,CONCATENATE("при измерении ",$O111," ",P$50," не допускается ! "),"")</f>
      </c>
      <c r="Q111" s="587">
        <f>IF(IF(ISNA(INDEX(СГИ!$Q$3:$AJ$22,VLOOKUP($O111,СГИ!$O$3:$P$22,2),HLOOKUP(Q$50,СГИ!$Q$1:$AJ$2,2))),"",INDEX(СГИ!$Q$3:$AJ$22,VLOOKUP($O111,СГИ!$O$3:$P$22,2),HLOOKUP(Q$50,СГИ!$Q$1:$AJ$2,2)))=1,CONCATENATE("при измерении ",$O111," ",Q$50," не допускается ! "),"")</f>
      </c>
      <c r="R111" s="587">
        <f>IF(IF(ISNA(INDEX(СГИ!$Q$3:$AJ$22,VLOOKUP($O111,СГИ!$O$3:$P$22,2),HLOOKUP(R$50,СГИ!$Q$1:$AJ$2,2))),"",INDEX(СГИ!$Q$3:$AJ$22,VLOOKUP($O111,СГИ!$O$3:$P$22,2),HLOOKUP(R$50,СГИ!$Q$1:$AJ$2,2)))=1,CONCATENATE("при измерении ",$O111," ",R$50," не допускается ! "),"")</f>
      </c>
      <c r="S111" s="587">
        <f>IF(IF(ISNA(INDEX(СГИ!$Q$3:$AJ$22,VLOOKUP($O111,СГИ!$O$3:$P$22,2),HLOOKUP(S$50,СГИ!$Q$1:$AJ$2,2))),"",INDEX(СГИ!$Q$3:$AJ$22,VLOOKUP($O111,СГИ!$O$3:$P$22,2),HLOOKUP(S$50,СГИ!$Q$1:$AJ$2,2)))=1,CONCATENATE("при измерении ",$O111," ",S$50," не допускается ! "),"")</f>
      </c>
      <c r="T111" s="587">
        <f>IF(IF(ISNA(INDEX(СГИ!$Q$3:$AJ$22,VLOOKUP($O111,СГИ!$O$3:$P$22,2),HLOOKUP(T$50,СГИ!$Q$1:$AJ$2,2))),"",INDEX(СГИ!$Q$3:$AJ$22,VLOOKUP($O111,СГИ!$O$3:$P$22,2),HLOOKUP(T$50,СГИ!$Q$1:$AJ$2,2)))=1,CONCATENATE("при измерении ",$O111," ",T$50," не допускается ! "),"")</f>
      </c>
      <c r="U111" s="587">
        <f>IF(IF(ISNA(INDEX(СГИ!$Q$3:$AJ$22,VLOOKUP($O111,СГИ!$O$3:$P$22,2),HLOOKUP(U$50,СГИ!$Q$1:$AJ$2,2))),"",INDEX(СГИ!$Q$3:$AJ$22,VLOOKUP($O111,СГИ!$O$3:$P$22,2),HLOOKUP(U$50,СГИ!$Q$1:$AJ$2,2)))=1,CONCATENATE("при измерении ",$O111," ",U$50," не допускается ! "),"")</f>
      </c>
      <c r="V111" s="587">
        <f>IF(IF(ISNA(INDEX(СГИ!$Q$3:$AJ$22,VLOOKUP($O111,СГИ!$O$3:$P$22,2),HLOOKUP(V$50,СГИ!$Q$1:$AJ$2,2))),"",INDEX(СГИ!$Q$3:$AJ$22,VLOOKUP($O111,СГИ!$O$3:$P$22,2),HLOOKUP(V$50,СГИ!$Q$1:$AJ$2,2)))=1,CONCATENATE("при измерении ",$O111," ",V$50," не допускается ! "),"")</f>
      </c>
      <c r="W111" s="587">
        <f>IF(IF(ISNA(INDEX(СГИ!$Q$3:$AJ$22,VLOOKUP($O111,СГИ!$O$3:$P$22,2),HLOOKUP(W$50,СГИ!$Q$1:$AJ$2,2))),"",INDEX(СГИ!$Q$3:$AJ$22,VLOOKUP($O111,СГИ!$O$3:$P$22,2),HLOOKUP(W$50,СГИ!$Q$1:$AJ$2,2)))=1,CONCATENATE("при измерении ",$O111," ",W$50," не допускается ! "),"")</f>
      </c>
      <c r="X111" s="587">
        <f>IF(IF(ISNA(INDEX(СГИ!$Q$3:$AJ$22,VLOOKUP($O111,СГИ!$O$3:$P$22,2),HLOOKUP(X$50,СГИ!$Q$1:$AJ$2,2))),"",INDEX(СГИ!$Q$3:$AJ$22,VLOOKUP($O111,СГИ!$O$3:$P$22,2),HLOOKUP(X$50,СГИ!$Q$1:$AJ$2,2)))=1,CONCATENATE("при измерении ",$O111," ",X$50," не допускается ! "),"")</f>
      </c>
      <c r="Y111" s="587">
        <f>IF(IF(ISNA(INDEX(СГИ!$Q$3:$AJ$22,VLOOKUP($O111,СГИ!$O$3:$P$22,2),HLOOKUP(Y$50,СГИ!$Q$1:$AJ$2,2))),"",INDEX(СГИ!$Q$3:$AJ$22,VLOOKUP($O111,СГИ!$O$3:$P$22,2),HLOOKUP(Y$50,СГИ!$Q$1:$AJ$2,2)))=1,CONCATENATE("при измерении ",$O111," ",Y$50," не допускается ! "),"")</f>
      </c>
      <c r="Z111" s="587">
        <f>IF(IF(ISNA(INDEX(СГИ!$Q$3:$AJ$22,VLOOKUP($O111,СГИ!$O$3:$P$22,2),HLOOKUP(Z$50,СГИ!$Q$1:$AJ$2,2))),"",INDEX(СГИ!$Q$3:$AJ$22,VLOOKUP($O111,СГИ!$O$3:$P$22,2),HLOOKUP(Z$50,СГИ!$Q$1:$AJ$2,2)))=1,CONCATENATE("при измерении ",$O111," ",Z$50," не допускается ! "),"")</f>
      </c>
      <c r="AA111" s="587">
        <f>IF(IF(ISNA(INDEX(СГИ!$Q$3:$AJ$22,VLOOKUP($O111,СГИ!$O$3:$P$22,2),HLOOKUP(AA$50,СГИ!$Q$1:$AJ$2,2))),"",INDEX(СГИ!$Q$3:$AJ$22,VLOOKUP($O111,СГИ!$O$3:$P$22,2),HLOOKUP(AA$50,СГИ!$Q$1:$AJ$2,2)))=1,CONCATENATE("при измерении ",$O111," ",AA$50," не допускается ! "),"")</f>
      </c>
      <c r="AB111" s="587">
        <f>IF(IF(ISNA(INDEX(СГИ!$Q$3:$AJ$22,VLOOKUP($O111,СГИ!$O$3:$P$22,2),HLOOKUP(AB$50,СГИ!$Q$1:$AJ$2,2))),"",INDEX(СГИ!$Q$3:$AJ$22,VLOOKUP($O111,СГИ!$O$3:$P$22,2),HLOOKUP(AB$50,СГИ!$Q$1:$AJ$2,2)))=1,CONCATENATE("при измерении ",$O111," ",AB$50," не допускается ! "),"")</f>
      </c>
      <c r="AC111" s="587">
        <f>IF(IF(ISNA(INDEX(СГИ!$Q$3:$AJ$22,VLOOKUP($O111,СГИ!$O$3:$P$22,2),HLOOKUP(AC$50,СГИ!$Q$1:$AJ$2,2))),"",INDEX(СГИ!$Q$3:$AJ$22,VLOOKUP($O111,СГИ!$O$3:$P$22,2),HLOOKUP(AC$50,СГИ!$Q$1:$AJ$2,2)))=1,CONCATENATE("при измерении ",$O111," ",AC$50," не допускается ! "),"")</f>
      </c>
      <c r="AD111" s="587">
        <f>IF(IF(ISNA(INDEX(СГИ!$Q$3:$AJ$22,VLOOKUP($O111,СГИ!$O$3:$P$22,2),HLOOKUP(AD$50,СГИ!$Q$1:$AJ$2,2))),"",INDEX(СГИ!$Q$3:$AJ$22,VLOOKUP($O111,СГИ!$O$3:$P$22,2),HLOOKUP(AD$50,СГИ!$Q$1:$AJ$2,2)))=1,CONCATENATE("при измерении ",$O111," ",AD$50," не допускается ! "),"")</f>
      </c>
      <c r="AE111" s="587">
        <f>IF(IF(ISNA(INDEX(СГИ!$Q$3:$AJ$22,VLOOKUP($O111,СГИ!$O$3:$P$22,2),HLOOKUP(AE$50,СГИ!$Q$1:$AJ$2,2))),"",INDEX(СГИ!$Q$3:$AJ$22,VLOOKUP($O111,СГИ!$O$3:$P$22,2),HLOOKUP(AE$50,СГИ!$Q$1:$AJ$2,2)))=1,CONCATENATE("при измерении ",$O111," ",AE$50," не допускается ! "),"")</f>
      </c>
      <c r="AF111" s="587">
        <f>IF(IF(ISNA(INDEX(СГИ!$Q$3:$AJ$22,VLOOKUP($O111,СГИ!$O$3:$P$22,2),HLOOKUP(AF$50,СГИ!$Q$1:$AJ$2,2))),"",INDEX(СГИ!$Q$3:$AJ$22,VLOOKUP($O111,СГИ!$O$3:$P$22,2),HLOOKUP(AF$50,СГИ!$Q$1:$AJ$2,2)))=1,CONCATENATE("при измерении ",$O111," ",AF$50," не допускается ! "),"")</f>
      </c>
      <c r="AG111" s="615">
        <f>IF(IF(ISNA(INDEX(СГИ!$Q$3:$AJ$22,VLOOKUP($O111,СГИ!$O$3:$P$22,2),HLOOKUP(AG$50,СГИ!$Q$1:$AJ$2,2))),"",INDEX(СГИ!$Q$3:$AJ$22,VLOOKUP($O111,СГИ!$O$3:$P$22,2),HLOOKUP(AG$50,СГИ!$Q$1:$AJ$2,2)))=1,CONCATENATE("при измерении ",$O111," ",AG$50," не допускается ! "),"")</f>
      </c>
      <c r="AH111" s="1">
        <f t="shared" si="2"/>
      </c>
    </row>
    <row r="112" spans="1:34" ht="33" customHeight="1" thickBot="1">
      <c r="A112" s="891">
        <f>IF('И11-Переносные с вын. БД'!L52="",AJ93,'И11-Переносные с вын. БД'!L52)</f>
        <v>6</v>
      </c>
      <c r="B112" s="838" t="s">
        <v>713</v>
      </c>
      <c r="C112" s="536" t="s">
        <v>708</v>
      </c>
      <c r="E112" s="536" t="s">
        <v>705</v>
      </c>
      <c r="I112" s="1" t="s">
        <v>561</v>
      </c>
      <c r="J112" s="764">
        <f>IF('И11-Переносные с вын. БД'!D68&gt;0,ПГ!D68,"")</f>
      </c>
      <c r="K112" s="767"/>
      <c r="L112" s="771"/>
      <c r="M112" s="196"/>
      <c r="N112" s="561"/>
      <c r="O112" s="618">
        <f>MID('И11-Переносные с вын. БД'!I68,2,9)</f>
      </c>
      <c r="P112" s="619">
        <f>IF(IF(ISNA(INDEX(СГИ!$Q$3:$AJ$22,VLOOKUP($O112,СГИ!$O$3:$P$22,2),HLOOKUP(P$50,СГИ!$Q$1:$AJ$2,2))),"",INDEX(СГИ!$Q$3:$AJ$22,VLOOKUP($O112,СГИ!$O$3:$P$22,2),HLOOKUP(P$50,СГИ!$Q$1:$AJ$2,2)))=1,CONCATENATE("при измерении ",$O112," ",P$50," не допускается ! "),"")</f>
      </c>
      <c r="Q112" s="619">
        <f>IF(IF(ISNA(INDEX(СГИ!$Q$3:$AJ$22,VLOOKUP($O112,СГИ!$O$3:$P$22,2),HLOOKUP(Q$50,СГИ!$Q$1:$AJ$2,2))),"",INDEX(СГИ!$Q$3:$AJ$22,VLOOKUP($O112,СГИ!$O$3:$P$22,2),HLOOKUP(Q$50,СГИ!$Q$1:$AJ$2,2)))=1,CONCATENATE("при измерении ",$O112," ",Q$50," не допускается ! "),"")</f>
      </c>
      <c r="R112" s="619">
        <f>IF(IF(ISNA(INDEX(СГИ!$Q$3:$AJ$22,VLOOKUP($O112,СГИ!$O$3:$P$22,2),HLOOKUP(R$50,СГИ!$Q$1:$AJ$2,2))),"",INDEX(СГИ!$Q$3:$AJ$22,VLOOKUP($O112,СГИ!$O$3:$P$22,2),HLOOKUP(R$50,СГИ!$Q$1:$AJ$2,2)))=1,CONCATENATE("при измерении ",$O112," ",R$50," не допускается ! "),"")</f>
      </c>
      <c r="S112" s="619">
        <f>IF(IF(ISNA(INDEX(СГИ!$Q$3:$AJ$22,VLOOKUP($O112,СГИ!$O$3:$P$22,2),HLOOKUP(S$50,СГИ!$Q$1:$AJ$2,2))),"",INDEX(СГИ!$Q$3:$AJ$22,VLOOKUP($O112,СГИ!$O$3:$P$22,2),HLOOKUP(S$50,СГИ!$Q$1:$AJ$2,2)))=1,CONCATENATE("при измерении ",$O112," ",S$50," не допускается ! "),"")</f>
      </c>
      <c r="T112" s="619">
        <f>IF(IF(ISNA(INDEX(СГИ!$Q$3:$AJ$22,VLOOKUP($O112,СГИ!$O$3:$P$22,2),HLOOKUP(T$50,СГИ!$Q$1:$AJ$2,2))),"",INDEX(СГИ!$Q$3:$AJ$22,VLOOKUP($O112,СГИ!$O$3:$P$22,2),HLOOKUP(T$50,СГИ!$Q$1:$AJ$2,2)))=1,CONCATENATE("при измерении ",$O112," ",T$50," не допускается ! "),"")</f>
      </c>
      <c r="U112" s="619">
        <f>IF(IF(ISNA(INDEX(СГИ!$Q$3:$AJ$22,VLOOKUP($O112,СГИ!$O$3:$P$22,2),HLOOKUP(U$50,СГИ!$Q$1:$AJ$2,2))),"",INDEX(СГИ!$Q$3:$AJ$22,VLOOKUP($O112,СГИ!$O$3:$P$22,2),HLOOKUP(U$50,СГИ!$Q$1:$AJ$2,2)))=1,CONCATENATE("при измерении ",$O112," ",U$50," не допускается ! "),"")</f>
      </c>
      <c r="V112" s="619">
        <f>IF(IF(ISNA(INDEX(СГИ!$Q$3:$AJ$22,VLOOKUP($O112,СГИ!$O$3:$P$22,2),HLOOKUP(V$50,СГИ!$Q$1:$AJ$2,2))),"",INDEX(СГИ!$Q$3:$AJ$22,VLOOKUP($O112,СГИ!$O$3:$P$22,2),HLOOKUP(V$50,СГИ!$Q$1:$AJ$2,2)))=1,CONCATENATE("при измерении ",$O112," ",V$50," не допускается ! "),"")</f>
      </c>
      <c r="W112" s="619">
        <f>IF(IF(ISNA(INDEX(СГИ!$Q$3:$AJ$22,VLOOKUP($O112,СГИ!$O$3:$P$22,2),HLOOKUP(W$50,СГИ!$Q$1:$AJ$2,2))),"",INDEX(СГИ!$Q$3:$AJ$22,VLOOKUP($O112,СГИ!$O$3:$P$22,2),HLOOKUP(W$50,СГИ!$Q$1:$AJ$2,2)))=1,CONCATENATE("при измерении ",$O112," ",W$50," не допускается ! "),"")</f>
      </c>
      <c r="X112" s="619">
        <f>IF(IF(ISNA(INDEX(СГИ!$Q$3:$AJ$22,VLOOKUP($O112,СГИ!$O$3:$P$22,2),HLOOKUP(X$50,СГИ!$Q$1:$AJ$2,2))),"",INDEX(СГИ!$Q$3:$AJ$22,VLOOKUP($O112,СГИ!$O$3:$P$22,2),HLOOKUP(X$50,СГИ!$Q$1:$AJ$2,2)))=1,CONCATENATE("при измерении ",$O112," ",X$50," не допускается ! "),"")</f>
      </c>
      <c r="Y112" s="619">
        <f>IF(IF(ISNA(INDEX(СГИ!$Q$3:$AJ$22,VLOOKUP($O112,СГИ!$O$3:$P$22,2),HLOOKUP(Y$50,СГИ!$Q$1:$AJ$2,2))),"",INDEX(СГИ!$Q$3:$AJ$22,VLOOKUP($O112,СГИ!$O$3:$P$22,2),HLOOKUP(Y$50,СГИ!$Q$1:$AJ$2,2)))=1,CONCATENATE("при измерении ",$O112," ",Y$50," не допускается ! "),"")</f>
      </c>
      <c r="Z112" s="619">
        <f>IF(IF(ISNA(INDEX(СГИ!$Q$3:$AJ$22,VLOOKUP($O112,СГИ!$O$3:$P$22,2),HLOOKUP(Z$50,СГИ!$Q$1:$AJ$2,2))),"",INDEX(СГИ!$Q$3:$AJ$22,VLOOKUP($O112,СГИ!$O$3:$P$22,2),HLOOKUP(Z$50,СГИ!$Q$1:$AJ$2,2)))=1,CONCATENATE("при измерении ",$O112," ",Z$50," не допускается ! "),"")</f>
      </c>
      <c r="AA112" s="619">
        <f>IF(IF(ISNA(INDEX(СГИ!$Q$3:$AJ$22,VLOOKUP($O112,СГИ!$O$3:$P$22,2),HLOOKUP(AA$50,СГИ!$Q$1:$AJ$2,2))),"",INDEX(СГИ!$Q$3:$AJ$22,VLOOKUP($O112,СГИ!$O$3:$P$22,2),HLOOKUP(AA$50,СГИ!$Q$1:$AJ$2,2)))=1,CONCATENATE("при измерении ",$O112," ",AA$50," не допускается ! "),"")</f>
      </c>
      <c r="AB112" s="619">
        <f>IF(IF(ISNA(INDEX(СГИ!$Q$3:$AJ$22,VLOOKUP($O112,СГИ!$O$3:$P$22,2),HLOOKUP(AB$50,СГИ!$Q$1:$AJ$2,2))),"",INDEX(СГИ!$Q$3:$AJ$22,VLOOKUP($O112,СГИ!$O$3:$P$22,2),HLOOKUP(AB$50,СГИ!$Q$1:$AJ$2,2)))=1,CONCATENATE("при измерении ",$O112," ",AB$50," не допускается ! "),"")</f>
      </c>
      <c r="AC112" s="619">
        <f>IF(IF(ISNA(INDEX(СГИ!$Q$3:$AJ$22,VLOOKUP($O112,СГИ!$O$3:$P$22,2),HLOOKUP(AC$50,СГИ!$Q$1:$AJ$2,2))),"",INDEX(СГИ!$Q$3:$AJ$22,VLOOKUP($O112,СГИ!$O$3:$P$22,2),HLOOKUP(AC$50,СГИ!$Q$1:$AJ$2,2)))=1,CONCATENATE("при измерении ",$O112," ",AC$50," не допускается ! "),"")</f>
      </c>
      <c r="AD112" s="619">
        <f>IF(IF(ISNA(INDEX(СГИ!$Q$3:$AJ$22,VLOOKUP($O112,СГИ!$O$3:$P$22,2),HLOOKUP(AD$50,СГИ!$Q$1:$AJ$2,2))),"",INDEX(СГИ!$Q$3:$AJ$22,VLOOKUP($O112,СГИ!$O$3:$P$22,2),HLOOKUP(AD$50,СГИ!$Q$1:$AJ$2,2)))=1,CONCATENATE("при измерении ",$O112," ",AD$50," не допускается ! "),"")</f>
      </c>
      <c r="AE112" s="619">
        <f>IF(IF(ISNA(INDEX(СГИ!$Q$3:$AJ$22,VLOOKUP($O112,СГИ!$O$3:$P$22,2),HLOOKUP(AE$50,СГИ!$Q$1:$AJ$2,2))),"",INDEX(СГИ!$Q$3:$AJ$22,VLOOKUP($O112,СГИ!$O$3:$P$22,2),HLOOKUP(AE$50,СГИ!$Q$1:$AJ$2,2)))=1,CONCATENATE("при измерении ",$O112," ",AE$50," не допускается ! "),"")</f>
      </c>
      <c r="AF112" s="619">
        <f>IF(IF(ISNA(INDEX(СГИ!$Q$3:$AJ$22,VLOOKUP($O112,СГИ!$O$3:$P$22,2),HLOOKUP(AF$50,СГИ!$Q$1:$AJ$2,2))),"",INDEX(СГИ!$Q$3:$AJ$22,VLOOKUP($O112,СГИ!$O$3:$P$22,2),HLOOKUP(AF$50,СГИ!$Q$1:$AJ$2,2)))=1,CONCATENATE("при измерении ",$O112," ",AF$50," не допускается ! "),"")</f>
      </c>
      <c r="AG112" s="620">
        <f>IF(IF(ISNA(INDEX(СГИ!$Q$3:$AJ$22,VLOOKUP($O112,СГИ!$O$3:$P$22,2),HLOOKUP(AG$50,СГИ!$Q$1:$AJ$2,2))),"",INDEX(СГИ!$Q$3:$AJ$22,VLOOKUP($O112,СГИ!$O$3:$P$22,2),HLOOKUP(AG$50,СГИ!$Q$1:$AJ$2,2)))=1,CONCATENATE("при измерении ",$O112," ",AG$50," не допускается ! "),"")</f>
      </c>
      <c r="AH112" s="1">
        <f t="shared" si="2"/>
      </c>
    </row>
    <row r="113" spans="1:35" ht="33" customHeight="1" thickBot="1">
      <c r="A113" s="493" t="str">
        <f>IF('И11-Переносные с вын. БД'!L51=1,AJ95,AJ94)</f>
        <v>-/53</v>
      </c>
      <c r="B113" s="838" t="s">
        <v>661</v>
      </c>
      <c r="C113" s="575" t="str">
        <f>IF('И11-Переносные с вын. БД'!L$6=1,I$67,I$66)</f>
        <v>ЦЕНЫ без взрывозащиты</v>
      </c>
      <c r="E113" s="575">
        <f>IF('И11-Переносные с вын. БД'!$H$6=$I$55,$I$65,"")</f>
      </c>
      <c r="F113" s="1" t="s">
        <v>559</v>
      </c>
      <c r="K113" s="767" t="s">
        <v>571</v>
      </c>
      <c r="L113" s="768">
        <f>SUM(L96:L112)</f>
        <v>0</v>
      </c>
      <c r="M113" s="557"/>
      <c r="N113" s="759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33" customHeight="1" thickBot="1">
      <c r="A114" s="493" t="str">
        <f>AJ96</f>
        <v>/50</v>
      </c>
      <c r="B114" s="838" t="s">
        <v>662</v>
      </c>
      <c r="C114" s="536"/>
      <c r="E114" s="575">
        <f>IF($E$58=$I$60,$I$65,"")</f>
      </c>
      <c r="F114" s="1" t="s">
        <v>553</v>
      </c>
      <c r="K114" s="605" t="s">
        <v>566</v>
      </c>
      <c r="L114" s="765">
        <v>330</v>
      </c>
      <c r="M114" s="758"/>
      <c r="N114" s="758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33" customHeight="1" thickBot="1">
      <c r="A115" s="493" t="str">
        <f>AJ97</f>
        <v>-Д2</v>
      </c>
      <c r="B115" s="838" t="s">
        <v>742</v>
      </c>
      <c r="C115" s="536"/>
      <c r="E115" s="575">
        <f>IF('И11-Переносные с вын. БД'!$H$8=$I$55,$I$65,"")</f>
      </c>
      <c r="F115" s="1" t="s">
        <v>562</v>
      </c>
      <c r="K115" s="605" t="s">
        <v>567</v>
      </c>
      <c r="L115" s="608">
        <v>1100</v>
      </c>
      <c r="M115" s="760"/>
      <c r="N115" s="760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33" customHeight="1" thickBot="1">
      <c r="A116" s="493" t="str">
        <f>AJ98</f>
        <v>Т0</v>
      </c>
      <c r="B116" s="838" t="s">
        <v>736</v>
      </c>
      <c r="C116" s="536"/>
      <c r="I116" s="497"/>
      <c r="K116" s="606" t="s">
        <v>568</v>
      </c>
      <c r="L116" s="609">
        <v>-3000</v>
      </c>
      <c r="M116" s="758"/>
      <c r="N116" s="758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33" customHeight="1">
      <c r="A117" s="493" t="str">
        <f>AJ99</f>
        <v>Ц0</v>
      </c>
      <c r="B117" s="838" t="s">
        <v>735</v>
      </c>
      <c r="C117" s="536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" ht="33" customHeight="1">
      <c r="A118" s="493" t="s">
        <v>734</v>
      </c>
      <c r="B118" s="838" t="s">
        <v>739</v>
      </c>
      <c r="C118" s="536"/>
    </row>
    <row r="119" spans="1:8" ht="33" customHeight="1">
      <c r="A119" s="836" t="str">
        <f>AJ106</f>
        <v>-=A5</v>
      </c>
      <c r="B119" s="838" t="s">
        <v>665</v>
      </c>
      <c r="C119" s="536"/>
      <c r="H119" s="849"/>
    </row>
    <row r="120" spans="1:3" ht="33" customHeight="1" thickBot="1">
      <c r="A120" s="494">
        <f>IF('И11-Переносные с вын. БД'!H53=I101,"-Ex","")</f>
      </c>
      <c r="B120" s="838" t="s">
        <v>666</v>
      </c>
      <c r="C120" s="536"/>
    </row>
    <row r="121" spans="1:3" ht="33" customHeight="1" thickBot="1">
      <c r="A121" s="536" t="s">
        <v>678</v>
      </c>
      <c r="C121" s="536"/>
    </row>
    <row r="122" spans="1:9" ht="33" customHeight="1">
      <c r="A122" s="486">
        <f>IF('И11-Переносные с вын. БД'!J52&gt;0,"92","")</f>
      </c>
      <c r="B122" s="826" t="s">
        <v>714</v>
      </c>
      <c r="I122" s="497"/>
    </row>
    <row r="123" spans="1:2" ht="33" customHeight="1">
      <c r="A123" s="487">
        <f>IF(AND('И11-Переносные с вын. БД'!J69+'И11-Переносные с вын. БД'!J57&gt;0,'И11-Переносные с вын. БД'!J69+'И11-Переносные с вын. БД'!J57&lt;6),"М","")</f>
      </c>
      <c r="B123" s="826" t="s">
        <v>668</v>
      </c>
    </row>
    <row r="124" spans="1:2" ht="33" customHeight="1" thickBot="1">
      <c r="A124" s="877">
        <f>IF('И11-Переносные с вын. БД'!J70&gt;0,IF('И11-Переносные с вын. БД'!J67+'И11-Переносные с вын. БД'!J68&gt;0,"","Т"),"")</f>
      </c>
      <c r="B124" s="826" t="s">
        <v>667</v>
      </c>
    </row>
    <row r="125" spans="1:2" ht="33" customHeight="1">
      <c r="A125" s="834">
        <f>IF(AND('И11-Переносные с вын. БД'!J71='И11-Переносные с вын. БД'!J52,'И11-Переносные с вын. БД'!J71&lt;2),"",'И11-Переносные с вын. БД'!I52)</f>
      </c>
      <c r="B125" s="826" t="s">
        <v>715</v>
      </c>
    </row>
    <row r="126" spans="1:2" ht="33" customHeight="1">
      <c r="A126" s="834" t="str">
        <f>IF('И11-Переносные с вын. БД'!J71='И11-Переносные с вын. БД'!J53,"-H2",'И11-Переносные с вын. БД'!I53)</f>
        <v>-H2</v>
      </c>
      <c r="B126" s="826" t="s">
        <v>716</v>
      </c>
    </row>
    <row r="127" spans="1:2" ht="33" customHeight="1">
      <c r="A127" s="834" t="str">
        <f>IF('И11-Переносные с вын. БД'!J71='И11-Переносные с вын. БД'!J54,"-CH4",'И11-Переносные с вын. БД'!I54)</f>
        <v>-CH4</v>
      </c>
      <c r="B127" s="826" t="s">
        <v>717</v>
      </c>
    </row>
    <row r="128" spans="1:8" ht="33" customHeight="1">
      <c r="A128" s="834" t="str">
        <f>IF('И11-Переносные с вын. БД'!J71='И11-Переносные с вын. БД'!J55,"-C3H8",'И11-Переносные с вын. БД'!I55)</f>
        <v>-C3H8</v>
      </c>
      <c r="B128" s="826" t="s">
        <v>718</v>
      </c>
      <c r="H128" s="849"/>
    </row>
    <row r="129" spans="1:37" ht="33" customHeight="1">
      <c r="A129" s="834" t="str">
        <f>IF('И11-Переносные с вын. БД'!J71='И11-Переносные с вын. БД'!J56,"-C6H14",'И11-Переносные с вын. БД'!I56)</f>
        <v>-C6H14</v>
      </c>
      <c r="B129" s="826" t="s">
        <v>719</v>
      </c>
      <c r="C129" s="879"/>
      <c r="D129" s="879"/>
      <c r="E129" s="879"/>
      <c r="F129" s="879"/>
      <c r="G129" s="879"/>
      <c r="H129" s="880"/>
      <c r="I129" s="879"/>
      <c r="J129" s="879"/>
      <c r="K129" s="879"/>
      <c r="L129" s="879"/>
      <c r="M129" s="879"/>
      <c r="N129" s="879"/>
      <c r="O129" s="879"/>
      <c r="P129" s="879"/>
      <c r="Q129" s="879"/>
      <c r="R129" s="879"/>
      <c r="S129" s="879"/>
      <c r="T129" s="879"/>
      <c r="U129" s="879"/>
      <c r="V129" s="879"/>
      <c r="W129" s="879"/>
      <c r="X129" s="879"/>
      <c r="Y129" s="879"/>
      <c r="Z129" s="879"/>
      <c r="AA129" s="879"/>
      <c r="AB129" s="879"/>
      <c r="AC129" s="879"/>
      <c r="AD129" s="879"/>
      <c r="AE129" s="879"/>
      <c r="AF129" s="879"/>
      <c r="AG129" s="879"/>
      <c r="AH129" s="879"/>
      <c r="AI129" s="879"/>
      <c r="AJ129" s="879"/>
      <c r="AK129" s="879"/>
    </row>
    <row r="130" spans="1:44" ht="33" customHeight="1" thickBot="1">
      <c r="A130" s="835" t="str">
        <f>IF('И11-Переносные с вын. БД'!J71='И11-Переносные с вын. БД'!J57,"-CH4",'И11-Переносные с вын. БД'!I57)</f>
        <v>-CH4</v>
      </c>
      <c r="B130" s="826" t="s">
        <v>720</v>
      </c>
      <c r="C130" s="879"/>
      <c r="D130" s="879"/>
      <c r="E130" s="879"/>
      <c r="F130" s="879"/>
      <c r="G130" s="879"/>
      <c r="H130" s="880"/>
      <c r="I130" s="879"/>
      <c r="J130" s="879"/>
      <c r="K130" s="879"/>
      <c r="L130" s="879"/>
      <c r="M130" s="879"/>
      <c r="N130" s="879"/>
      <c r="O130" s="879"/>
      <c r="P130" s="879"/>
      <c r="Q130" s="879"/>
      <c r="R130" s="879"/>
      <c r="S130" s="879"/>
      <c r="T130" s="879"/>
      <c r="U130" s="879"/>
      <c r="V130" s="879"/>
      <c r="W130" s="879"/>
      <c r="X130" s="879"/>
      <c r="Y130" s="879"/>
      <c r="Z130" s="879"/>
      <c r="AA130" s="879"/>
      <c r="AB130" s="879"/>
      <c r="AC130" s="879"/>
      <c r="AD130" s="879"/>
      <c r="AE130" s="879"/>
      <c r="AF130" s="879"/>
      <c r="AG130" s="879"/>
      <c r="AH130" s="879"/>
      <c r="AI130" s="879"/>
      <c r="AJ130" s="879"/>
      <c r="AK130" s="879"/>
      <c r="AL130" s="879"/>
      <c r="AM130" s="879"/>
      <c r="AN130" s="879"/>
      <c r="AO130" s="879"/>
      <c r="AP130" s="879"/>
      <c r="AQ130" s="879"/>
      <c r="AR130" s="879"/>
    </row>
    <row r="131" spans="1:44" ht="33" customHeight="1">
      <c r="A131" s="879"/>
      <c r="B131" s="879"/>
      <c r="C131" s="879"/>
      <c r="D131" s="540"/>
      <c r="E131" s="879"/>
      <c r="F131" s="879"/>
      <c r="G131" s="879"/>
      <c r="H131" s="879"/>
      <c r="I131" s="880"/>
      <c r="J131" s="879"/>
      <c r="K131" s="879"/>
      <c r="L131" s="879"/>
      <c r="M131" s="879"/>
      <c r="N131" s="879"/>
      <c r="O131" s="879"/>
      <c r="P131" s="879"/>
      <c r="Q131" s="879"/>
      <c r="R131" s="879"/>
      <c r="S131" s="879"/>
      <c r="T131" s="879"/>
      <c r="U131" s="879"/>
      <c r="V131" s="879"/>
      <c r="W131" s="879"/>
      <c r="X131" s="879"/>
      <c r="Y131" s="879"/>
      <c r="Z131" s="879"/>
      <c r="AA131" s="879"/>
      <c r="AB131" s="879"/>
      <c r="AC131" s="879"/>
      <c r="AD131" s="879"/>
      <c r="AE131" s="879"/>
      <c r="AF131" s="879"/>
      <c r="AG131" s="879"/>
      <c r="AH131" s="879"/>
      <c r="AI131" s="879"/>
      <c r="AJ131" s="879"/>
      <c r="AK131" s="879"/>
      <c r="AL131" s="879"/>
      <c r="AM131" s="879"/>
      <c r="AN131" s="879"/>
      <c r="AO131" s="879"/>
      <c r="AP131" s="879"/>
      <c r="AQ131" s="879"/>
      <c r="AR131" s="879"/>
    </row>
    <row r="132" spans="1:44" ht="33" customHeight="1">
      <c r="A132" s="879"/>
      <c r="B132" s="879"/>
      <c r="C132" s="879"/>
      <c r="D132" s="879"/>
      <c r="E132" s="879"/>
      <c r="F132" s="879"/>
      <c r="G132" s="879"/>
      <c r="H132" s="880"/>
      <c r="I132" s="879"/>
      <c r="J132" s="879"/>
      <c r="K132" s="879"/>
      <c r="L132" s="879"/>
      <c r="M132" s="879"/>
      <c r="N132" s="879"/>
      <c r="O132" s="879"/>
      <c r="P132" s="879"/>
      <c r="Q132" s="879"/>
      <c r="R132" s="879"/>
      <c r="S132" s="879"/>
      <c r="T132" s="879"/>
      <c r="U132" s="879"/>
      <c r="V132" s="879"/>
      <c r="W132" s="879"/>
      <c r="X132" s="879"/>
      <c r="Y132" s="879"/>
      <c r="Z132" s="879"/>
      <c r="AA132" s="879"/>
      <c r="AB132" s="879"/>
      <c r="AC132" s="879"/>
      <c r="AD132" s="879"/>
      <c r="AE132" s="879"/>
      <c r="AF132" s="879"/>
      <c r="AG132" s="879"/>
      <c r="AH132" s="879"/>
      <c r="AI132" s="879"/>
      <c r="AJ132" s="879"/>
      <c r="AK132" s="879"/>
      <c r="AL132" s="879"/>
      <c r="AM132" s="879"/>
      <c r="AN132" s="879"/>
      <c r="AO132" s="879"/>
      <c r="AP132" s="879"/>
      <c r="AQ132" s="879"/>
      <c r="AR132" s="879"/>
    </row>
    <row r="133" spans="1:44" ht="33" customHeight="1">
      <c r="A133" s="879"/>
      <c r="B133" s="879"/>
      <c r="C133" s="879"/>
      <c r="D133" s="879"/>
      <c r="E133" s="879"/>
      <c r="F133" s="879"/>
      <c r="G133" s="879"/>
      <c r="H133" s="881"/>
      <c r="I133" s="879"/>
      <c r="J133" s="879"/>
      <c r="K133" s="879"/>
      <c r="L133" s="879"/>
      <c r="M133" s="879"/>
      <c r="N133" s="879"/>
      <c r="O133" s="879"/>
      <c r="P133" s="879"/>
      <c r="Q133" s="879"/>
      <c r="R133" s="879"/>
      <c r="S133" s="879"/>
      <c r="T133" s="879"/>
      <c r="U133" s="879"/>
      <c r="V133" s="879"/>
      <c r="W133" s="879"/>
      <c r="X133" s="879"/>
      <c r="Y133" s="879"/>
      <c r="Z133" s="879"/>
      <c r="AA133" s="879"/>
      <c r="AB133" s="879"/>
      <c r="AC133" s="879"/>
      <c r="AD133" s="879"/>
      <c r="AE133" s="879"/>
      <c r="AF133" s="879"/>
      <c r="AG133" s="879"/>
      <c r="AH133" s="879"/>
      <c r="AI133" s="879"/>
      <c r="AJ133" s="879"/>
      <c r="AK133" s="879"/>
      <c r="AL133" s="879"/>
      <c r="AM133" s="879"/>
      <c r="AN133" s="879"/>
      <c r="AO133" s="879"/>
      <c r="AP133" s="879"/>
      <c r="AQ133" s="879"/>
      <c r="AR133" s="879"/>
    </row>
    <row r="134" spans="1:44" ht="33" customHeight="1">
      <c r="A134" s="879"/>
      <c r="B134" s="879"/>
      <c r="C134" s="879"/>
      <c r="D134" s="879"/>
      <c r="E134" s="879"/>
      <c r="F134" s="879"/>
      <c r="G134" s="879"/>
      <c r="H134" s="880"/>
      <c r="I134" s="879"/>
      <c r="J134" s="879"/>
      <c r="K134" s="879"/>
      <c r="L134" s="879"/>
      <c r="M134" s="879"/>
      <c r="N134" s="879"/>
      <c r="O134" s="879"/>
      <c r="P134" s="879"/>
      <c r="Q134" s="879"/>
      <c r="R134" s="879"/>
      <c r="S134" s="879"/>
      <c r="T134" s="879"/>
      <c r="U134" s="879"/>
      <c r="V134" s="879"/>
      <c r="W134" s="879"/>
      <c r="X134" s="879"/>
      <c r="Y134" s="879"/>
      <c r="Z134" s="879"/>
      <c r="AA134" s="879"/>
      <c r="AB134" s="879"/>
      <c r="AC134" s="879"/>
      <c r="AD134" s="879"/>
      <c r="AE134" s="879"/>
      <c r="AF134" s="879"/>
      <c r="AG134" s="879"/>
      <c r="AH134" s="879"/>
      <c r="AI134" s="879"/>
      <c r="AJ134" s="879"/>
      <c r="AK134" s="879"/>
      <c r="AL134" s="879"/>
      <c r="AM134" s="879"/>
      <c r="AN134" s="879"/>
      <c r="AO134" s="879"/>
      <c r="AP134" s="879"/>
      <c r="AQ134" s="879"/>
      <c r="AR134" s="879"/>
    </row>
    <row r="135" spans="1:44" ht="33" customHeight="1">
      <c r="A135" s="879"/>
      <c r="B135" s="879"/>
      <c r="C135" s="879"/>
      <c r="D135" s="879"/>
      <c r="E135" s="879"/>
      <c r="F135" s="879"/>
      <c r="G135" s="879"/>
      <c r="H135" s="880"/>
      <c r="I135" s="879"/>
      <c r="J135" s="879"/>
      <c r="K135" s="879"/>
      <c r="L135" s="879"/>
      <c r="M135" s="879"/>
      <c r="N135" s="879"/>
      <c r="O135" s="879"/>
      <c r="P135" s="879"/>
      <c r="Q135" s="879"/>
      <c r="R135" s="879"/>
      <c r="S135" s="879"/>
      <c r="T135" s="879"/>
      <c r="U135" s="879"/>
      <c r="V135" s="879"/>
      <c r="W135" s="879"/>
      <c r="X135" s="879"/>
      <c r="Y135" s="879"/>
      <c r="Z135" s="879"/>
      <c r="AA135" s="879"/>
      <c r="AB135" s="879"/>
      <c r="AC135" s="879"/>
      <c r="AD135" s="879"/>
      <c r="AE135" s="879"/>
      <c r="AF135" s="879"/>
      <c r="AG135" s="879"/>
      <c r="AH135" s="879"/>
      <c r="AI135" s="879"/>
      <c r="AJ135" s="879"/>
      <c r="AK135" s="879"/>
      <c r="AL135" s="879"/>
      <c r="AM135" s="879"/>
      <c r="AN135" s="879"/>
      <c r="AO135" s="879"/>
      <c r="AP135" s="879"/>
      <c r="AQ135" s="879"/>
      <c r="AR135" s="879"/>
    </row>
    <row r="136" spans="1:44" ht="33" customHeight="1">
      <c r="A136" s="879"/>
      <c r="B136" s="879"/>
      <c r="C136" s="879"/>
      <c r="D136" s="879"/>
      <c r="E136" s="879"/>
      <c r="F136" s="879"/>
      <c r="G136" s="879"/>
      <c r="H136" s="880"/>
      <c r="I136" s="879"/>
      <c r="J136" s="879"/>
      <c r="K136" s="879"/>
      <c r="L136" s="879"/>
      <c r="M136" s="879"/>
      <c r="N136" s="879"/>
      <c r="O136" s="879"/>
      <c r="P136" s="879"/>
      <c r="Q136" s="879"/>
      <c r="R136" s="879"/>
      <c r="S136" s="879"/>
      <c r="T136" s="879"/>
      <c r="U136" s="879"/>
      <c r="V136" s="879"/>
      <c r="W136" s="879"/>
      <c r="X136" s="879"/>
      <c r="Y136" s="879"/>
      <c r="Z136" s="879"/>
      <c r="AA136" s="879"/>
      <c r="AB136" s="879"/>
      <c r="AC136" s="879"/>
      <c r="AD136" s="879"/>
      <c r="AE136" s="879"/>
      <c r="AF136" s="879"/>
      <c r="AG136" s="879"/>
      <c r="AH136" s="879"/>
      <c r="AI136" s="879"/>
      <c r="AJ136" s="879"/>
      <c r="AK136" s="879"/>
      <c r="AL136" s="879"/>
      <c r="AM136" s="879"/>
      <c r="AN136" s="879"/>
      <c r="AO136" s="879"/>
      <c r="AP136" s="879"/>
      <c r="AQ136" s="879"/>
      <c r="AR136" s="879"/>
    </row>
    <row r="137" spans="1:44" ht="33" customHeight="1">
      <c r="A137" s="879"/>
      <c r="B137" s="879"/>
      <c r="C137" s="879"/>
      <c r="D137" s="879"/>
      <c r="E137" s="879"/>
      <c r="F137" s="879"/>
      <c r="G137" s="879"/>
      <c r="H137" s="880"/>
      <c r="I137" s="879"/>
      <c r="J137" s="879"/>
      <c r="K137" s="879"/>
      <c r="L137" s="879"/>
      <c r="M137" s="879"/>
      <c r="N137" s="879"/>
      <c r="O137" s="879"/>
      <c r="P137" s="879"/>
      <c r="Q137" s="879"/>
      <c r="R137" s="879"/>
      <c r="S137" s="879"/>
      <c r="T137" s="879"/>
      <c r="U137" s="879"/>
      <c r="V137" s="879"/>
      <c r="W137" s="879"/>
      <c r="X137" s="879"/>
      <c r="Y137" s="879"/>
      <c r="Z137" s="879"/>
      <c r="AA137" s="879"/>
      <c r="AB137" s="879"/>
      <c r="AC137" s="879"/>
      <c r="AD137" s="879"/>
      <c r="AE137" s="879"/>
      <c r="AF137" s="879"/>
      <c r="AG137" s="879"/>
      <c r="AH137" s="879"/>
      <c r="AI137" s="879"/>
      <c r="AJ137" s="879"/>
      <c r="AK137" s="879"/>
      <c r="AL137" s="879"/>
      <c r="AM137" s="879"/>
      <c r="AN137" s="879"/>
      <c r="AO137" s="879"/>
      <c r="AP137" s="879"/>
      <c r="AQ137" s="879"/>
      <c r="AR137" s="879"/>
    </row>
    <row r="138" spans="1:44" ht="33" customHeight="1">
      <c r="A138" s="879"/>
      <c r="AL138" s="879"/>
      <c r="AM138" s="879"/>
      <c r="AN138" s="879"/>
      <c r="AO138" s="879"/>
      <c r="AP138" s="879"/>
      <c r="AQ138" s="879"/>
      <c r="AR138" s="879"/>
    </row>
    <row r="148" ht="33" customHeight="1">
      <c r="B148"/>
    </row>
    <row r="150" ht="33" customHeight="1">
      <c r="B150"/>
    </row>
    <row r="151" ht="33" customHeight="1">
      <c r="B151"/>
    </row>
    <row r="152" ht="33" customHeight="1">
      <c r="B152"/>
    </row>
    <row r="153" ht="33" customHeight="1">
      <c r="B153"/>
    </row>
    <row r="154" spans="1:2" ht="33" customHeight="1">
      <c r="A154"/>
      <c r="B154"/>
    </row>
    <row r="155" ht="33" customHeight="1">
      <c r="B155"/>
    </row>
    <row r="156" spans="1:2" ht="33" customHeight="1">
      <c r="A156"/>
      <c r="B156"/>
    </row>
    <row r="157" ht="33" customHeight="1">
      <c r="B157"/>
    </row>
    <row r="158" ht="33" customHeight="1">
      <c r="A158"/>
    </row>
    <row r="159" spans="1:2" ht="33" customHeight="1">
      <c r="A159"/>
      <c r="B159"/>
    </row>
    <row r="160" ht="33" customHeight="1">
      <c r="B160"/>
    </row>
  </sheetData>
  <sheetProtection/>
  <hyperlinks>
    <hyperlink ref="B3" location="'стац. с выносн. БД'!I6" display="'стац. с выносн. БД'!I6"/>
    <hyperlink ref="B13" location="'стац. с выносн. БД'!I7" display="'стац. с выносн. БД'!I7"/>
    <hyperlink ref="F13" location="'стац. с выносн. БД'!I9" display="'стац. с выносн. БД'!I9"/>
    <hyperlink ref="D13" location="'стац. с выносн. БД'!I7" display="'стац. с выносн. БД'!I7"/>
    <hyperlink ref="D3" location="'стац. с выносн. БД'!I6" display="'стац. с выносн. БД'!I6"/>
    <hyperlink ref="F3" location="'стац. с выносн. БД'!I8" display="'стац. с выносн. БД'!I8"/>
    <hyperlink ref="H3" location="'стац. с выносн. БД'!I8" display="'стац. с выносн. БД'!I8"/>
    <hyperlink ref="H13" location="'стац. с выносн. БД'!I9" display="'стац. с выносн. БД'!I9"/>
    <hyperlink ref="F47" location="'перен. с выносн. БД'!H8" display="'перен. с выносн. БД'!H8"/>
    <hyperlink ref="H47" location="'перен. с выносн. БД'!H8" display="'перен. с выносн. БД'!H8"/>
    <hyperlink ref="B47" location="'перен. с выносн. БД'!H6" display="'перен. с выносн. БД'!H6"/>
    <hyperlink ref="D47" location="'перен. с выносн. БД'!H6" display="'перен. с выносн. БД'!H6"/>
    <hyperlink ref="B58" location="'перен. с выносн. БД'!H7" display="'перен. с выносн. БД'!H7"/>
    <hyperlink ref="D58" location="'перен. с выносн. БД'!H7" display="'перен. с выносн. БД'!H7"/>
    <hyperlink ref="F58" location="'перен. с выносн. БД'!H9" display="'перен. с выносн. БД'!H9"/>
    <hyperlink ref="H58" location="'перен. с выносн. БД'!H9" display="'перен. с выносн. БД'!H9"/>
    <hyperlink ref="F92" location="'перен. с выносн. БД'!H8" display="'перен. с выносн. БД'!H8"/>
    <hyperlink ref="H92" location="'перен. с выносн. БД'!H8" display="'перен. с выносн. БД'!H8"/>
    <hyperlink ref="B92" location="'перен. с выносн. БД'!H6" display="'перен. с выносн. БД'!H6"/>
    <hyperlink ref="D92" location="'перен. с выносн. БД'!H6" display="'перен. с выносн. БД'!H6"/>
    <hyperlink ref="B103" location="'перен. с выносн. БД'!H7" display="'перен. с выносн. БД'!H7"/>
    <hyperlink ref="D103" location="'перен. с выносн. БД'!H7" display="'перен. с выносн. БД'!H7"/>
    <hyperlink ref="F103" location="'перен. с выносн. БД'!H9" display="'перен. с выносн. БД'!H9"/>
    <hyperlink ref="H103" location="'перен. с выносн. БД'!H9" display="'перен. с выносн. БД'!H9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66"/>
  <sheetViews>
    <sheetView zoomScalePageLayoutView="0" workbookViewId="0" topLeftCell="A1">
      <pane xSplit="1" ySplit="1" topLeftCell="B7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K52" sqref="K52"/>
    </sheetView>
  </sheetViews>
  <sheetFormatPr defaultColWidth="9.00390625" defaultRowHeight="12.75"/>
  <cols>
    <col min="1" max="2" width="8.625" style="0" customWidth="1"/>
    <col min="3" max="3" width="13.625" style="0" customWidth="1"/>
    <col min="4" max="9" width="8.625" style="0" customWidth="1"/>
    <col min="10" max="10" width="8.625" style="288" customWidth="1"/>
    <col min="11" max="11" width="12.25390625" style="288" customWidth="1"/>
    <col min="12" max="12" width="11.75390625" style="288" customWidth="1"/>
    <col min="13" max="37" width="8.625" style="0" customWidth="1"/>
  </cols>
  <sheetData>
    <row r="1" spans="1:36" ht="12.75" customHeight="1" thickBot="1">
      <c r="A1" s="289" t="s">
        <v>360</v>
      </c>
      <c r="B1" s="290">
        <v>0.2</v>
      </c>
      <c r="O1" s="213" t="s">
        <v>297</v>
      </c>
      <c r="P1" s="213"/>
      <c r="Q1" s="214" t="str">
        <f>O3</f>
        <v>C3H8</v>
      </c>
      <c r="R1" t="str">
        <f>O4</f>
        <v>C3H8opt</v>
      </c>
      <c r="S1" t="str">
        <f>O5</f>
        <v>C6H14</v>
      </c>
      <c r="T1" t="str">
        <f>O6</f>
        <v>CH4</v>
      </c>
      <c r="U1" t="str">
        <f>O7</f>
        <v>CH4 токс.</v>
      </c>
      <c r="V1" t="str">
        <f>O8</f>
        <v>CH4opt</v>
      </c>
      <c r="W1" t="str">
        <f>O9</f>
        <v>Cl2</v>
      </c>
      <c r="X1" t="str">
        <f>O10</f>
        <v>CO</v>
      </c>
      <c r="Y1" t="str">
        <f>O11</f>
        <v>CO гор.</v>
      </c>
      <c r="Z1" t="str">
        <f>O12</f>
        <v>CO2</v>
      </c>
      <c r="AA1" t="str">
        <f>O13</f>
        <v>F2</v>
      </c>
      <c r="AB1" t="str">
        <f>O14</f>
        <v>H2</v>
      </c>
      <c r="AC1" t="str">
        <f>O15</f>
        <v>H2S</v>
      </c>
      <c r="AD1" t="str">
        <f>O16</f>
        <v>HCl</v>
      </c>
      <c r="AE1" t="str">
        <f>O17</f>
        <v>HF</v>
      </c>
      <c r="AF1" t="str">
        <f>O18</f>
        <v>NH3</v>
      </c>
      <c r="AG1" t="str">
        <f>O19</f>
        <v>NO2</v>
      </c>
      <c r="AH1" t="str">
        <f>O20</f>
        <v>O2</v>
      </c>
      <c r="AI1" t="str">
        <f>O21</f>
        <v>O3</v>
      </c>
      <c r="AJ1" t="str">
        <f>O22</f>
        <v>SO2</v>
      </c>
    </row>
    <row r="2" spans="15:36" ht="12.75" customHeight="1" thickBot="1">
      <c r="O2" s="213"/>
      <c r="P2" s="213"/>
      <c r="Q2" s="214">
        <f>P2+1</f>
        <v>1</v>
      </c>
      <c r="R2" s="214">
        <f aca="true" t="shared" si="0" ref="R2:AJ2">Q2+1</f>
        <v>2</v>
      </c>
      <c r="S2" s="214">
        <f t="shared" si="0"/>
        <v>3</v>
      </c>
      <c r="T2" s="214">
        <f t="shared" si="0"/>
        <v>4</v>
      </c>
      <c r="U2" s="214">
        <f t="shared" si="0"/>
        <v>5</v>
      </c>
      <c r="V2" s="214">
        <f t="shared" si="0"/>
        <v>6</v>
      </c>
      <c r="W2" s="214">
        <f t="shared" si="0"/>
        <v>7</v>
      </c>
      <c r="X2" s="214">
        <f t="shared" si="0"/>
        <v>8</v>
      </c>
      <c r="Y2" s="214">
        <f t="shared" si="0"/>
        <v>9</v>
      </c>
      <c r="Z2" s="214">
        <f t="shared" si="0"/>
        <v>10</v>
      </c>
      <c r="AA2" s="214">
        <f t="shared" si="0"/>
        <v>11</v>
      </c>
      <c r="AB2" s="214">
        <f t="shared" si="0"/>
        <v>12</v>
      </c>
      <c r="AC2" s="214">
        <f t="shared" si="0"/>
        <v>13</v>
      </c>
      <c r="AD2" s="214">
        <f t="shared" si="0"/>
        <v>14</v>
      </c>
      <c r="AE2" s="214">
        <f t="shared" si="0"/>
        <v>15</v>
      </c>
      <c r="AF2" s="214">
        <f t="shared" si="0"/>
        <v>16</v>
      </c>
      <c r="AG2" s="214">
        <f t="shared" si="0"/>
        <v>17</v>
      </c>
      <c r="AH2" s="214">
        <f t="shared" si="0"/>
        <v>18</v>
      </c>
      <c r="AI2" s="214">
        <f t="shared" si="0"/>
        <v>19</v>
      </c>
      <c r="AJ2" s="215">
        <f t="shared" si="0"/>
        <v>20</v>
      </c>
    </row>
    <row r="3" spans="15:36" ht="12.75" customHeight="1">
      <c r="O3" s="291" t="s">
        <v>283</v>
      </c>
      <c r="P3" s="291">
        <f>P2+1</f>
        <v>1</v>
      </c>
      <c r="Q3" s="292" t="s">
        <v>283</v>
      </c>
      <c r="R3" s="292"/>
      <c r="S3" s="292">
        <v>1</v>
      </c>
      <c r="T3" s="292">
        <v>1</v>
      </c>
      <c r="U3" s="292">
        <v>1</v>
      </c>
      <c r="V3" s="292"/>
      <c r="W3" s="292"/>
      <c r="X3" s="292"/>
      <c r="Y3" s="293">
        <v>1</v>
      </c>
      <c r="Z3" s="292"/>
      <c r="AA3" s="292"/>
      <c r="AB3" s="292">
        <v>1</v>
      </c>
      <c r="AC3" s="292"/>
      <c r="AD3" s="292"/>
      <c r="AE3" s="292"/>
      <c r="AF3" s="292"/>
      <c r="AG3" s="292"/>
      <c r="AH3" s="292"/>
      <c r="AI3" s="292"/>
      <c r="AJ3" s="294"/>
    </row>
    <row r="4" spans="15:36" ht="12.75" customHeight="1">
      <c r="O4" s="291" t="s">
        <v>361</v>
      </c>
      <c r="P4" s="291">
        <f aca="true" t="shared" si="1" ref="P4:P22">P3+1</f>
        <v>2</v>
      </c>
      <c r="Q4" s="292"/>
      <c r="R4" s="292" t="s">
        <v>361</v>
      </c>
      <c r="S4" s="292"/>
      <c r="T4" s="292"/>
      <c r="U4" s="292"/>
      <c r="V4" s="292">
        <v>1</v>
      </c>
      <c r="W4" s="292"/>
      <c r="X4" s="292"/>
      <c r="Y4" s="293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4"/>
    </row>
    <row r="5" spans="1:36" ht="12.75" customHeight="1" thickBot="1">
      <c r="A5" s="295"/>
      <c r="B5" s="295"/>
      <c r="O5" s="291" t="s">
        <v>284</v>
      </c>
      <c r="P5" s="291">
        <f t="shared" si="1"/>
        <v>3</v>
      </c>
      <c r="Q5" s="292">
        <v>1</v>
      </c>
      <c r="R5" s="292"/>
      <c r="S5" s="292" t="s">
        <v>284</v>
      </c>
      <c r="T5" s="292"/>
      <c r="U5" s="292">
        <v>1</v>
      </c>
      <c r="V5" s="292"/>
      <c r="W5" s="292"/>
      <c r="X5" s="292"/>
      <c r="Y5" s="292">
        <v>1</v>
      </c>
      <c r="Z5" s="292"/>
      <c r="AA5" s="292"/>
      <c r="AB5" s="292">
        <v>1</v>
      </c>
      <c r="AC5" s="292"/>
      <c r="AD5" s="292"/>
      <c r="AE5" s="292"/>
      <c r="AF5" s="292"/>
      <c r="AG5" s="292"/>
      <c r="AH5" s="292"/>
      <c r="AI5" s="292"/>
      <c r="AJ5" s="294"/>
    </row>
    <row r="6" spans="1:36" ht="12.75" customHeight="1" thickBot="1">
      <c r="A6" s="212"/>
      <c r="B6" s="298" t="s">
        <v>362</v>
      </c>
      <c r="C6" s="299" t="str">
        <f>CONCATENATE("цена канала с инфл. ",100*ПГ!B1," /мес")</f>
        <v>цена канала с инфл. 0 /мес</v>
      </c>
      <c r="D6" s="300"/>
      <c r="E6" s="299" t="str">
        <f>CONCATENATE("цена корпуса с инфл. ",100*ПГ!B1," /мес")</f>
        <v>цена корпуса с инфл. 0 /мес</v>
      </c>
      <c r="F6" s="301"/>
      <c r="G6" s="302" t="s">
        <v>363</v>
      </c>
      <c r="O6" s="306" t="s">
        <v>282</v>
      </c>
      <c r="P6" s="291">
        <f t="shared" si="1"/>
        <v>4</v>
      </c>
      <c r="Q6" s="292">
        <v>1</v>
      </c>
      <c r="R6" s="292"/>
      <c r="S6" s="292"/>
      <c r="T6" s="292" t="s">
        <v>282</v>
      </c>
      <c r="U6" s="292"/>
      <c r="V6" s="292"/>
      <c r="W6" s="292"/>
      <c r="X6" s="292"/>
      <c r="Y6" s="293">
        <v>1</v>
      </c>
      <c r="Z6" s="292"/>
      <c r="AA6" s="292"/>
      <c r="AB6" s="293">
        <v>1</v>
      </c>
      <c r="AC6" s="292"/>
      <c r="AD6" s="292"/>
      <c r="AE6" s="292"/>
      <c r="AF6" s="292"/>
      <c r="AG6" s="292"/>
      <c r="AH6" s="292"/>
      <c r="AI6" s="292"/>
      <c r="AJ6" s="294"/>
    </row>
    <row r="7" spans="1:36" ht="12.75" customHeight="1" thickBot="1">
      <c r="A7" s="307" t="str">
        <f aca="true" t="shared" si="2" ref="A7:A27">A39</f>
        <v>газы</v>
      </c>
      <c r="B7" s="308" t="s">
        <v>365</v>
      </c>
      <c r="C7" s="309" t="s">
        <v>345</v>
      </c>
      <c r="D7" s="310" t="s">
        <v>366</v>
      </c>
      <c r="E7" s="309" t="s">
        <v>345</v>
      </c>
      <c r="F7" s="310" t="s">
        <v>366</v>
      </c>
      <c r="G7" s="311" t="s">
        <v>367</v>
      </c>
      <c r="O7" s="291" t="s">
        <v>369</v>
      </c>
      <c r="P7" s="291">
        <f t="shared" si="1"/>
        <v>5</v>
      </c>
      <c r="Q7" s="292"/>
      <c r="R7" s="292"/>
      <c r="S7" s="292"/>
      <c r="T7" s="292"/>
      <c r="U7" s="292" t="s">
        <v>282</v>
      </c>
      <c r="V7" s="292"/>
      <c r="W7" s="292"/>
      <c r="X7" s="292"/>
      <c r="Y7" s="293"/>
      <c r="Z7" s="292"/>
      <c r="AA7" s="292"/>
      <c r="AB7" s="293"/>
      <c r="AC7" s="292"/>
      <c r="AD7" s="292"/>
      <c r="AE7" s="292"/>
      <c r="AF7" s="292"/>
      <c r="AG7" s="292"/>
      <c r="AH7" s="292"/>
      <c r="AI7" s="292"/>
      <c r="AJ7" s="294"/>
    </row>
    <row r="8" spans="1:36" ht="12.75" customHeight="1" thickBot="1">
      <c r="A8" s="314" t="str">
        <f t="shared" si="2"/>
        <v>C3H8</v>
      </c>
      <c r="B8" s="776">
        <f>ROUND(B40*ПГ!$F$2,1)</f>
        <v>0</v>
      </c>
      <c r="C8" s="777">
        <f>ROUND(C40*ПГ!$F$2,-1)</f>
        <v>9330</v>
      </c>
      <c r="D8" s="778">
        <f>ROUND(D40*ПГ!$F$2,-1)</f>
        <v>9330</v>
      </c>
      <c r="E8" s="777">
        <f>ROUND(E40*ПГ!$F$2,-1)</f>
        <v>4820</v>
      </c>
      <c r="F8" s="778">
        <f>ROUND(F40*ПГ!$F$2,-1)</f>
        <v>4820</v>
      </c>
      <c r="G8" s="772">
        <v>2</v>
      </c>
      <c r="H8" s="296" t="s">
        <v>483</v>
      </c>
      <c r="I8" s="297"/>
      <c r="J8" s="297"/>
      <c r="K8" s="297"/>
      <c r="O8" s="291" t="s">
        <v>370</v>
      </c>
      <c r="P8" s="291">
        <f t="shared" si="1"/>
        <v>6</v>
      </c>
      <c r="Q8" s="292"/>
      <c r="R8" s="292">
        <v>1</v>
      </c>
      <c r="S8" s="292"/>
      <c r="T8" s="292"/>
      <c r="U8" s="292"/>
      <c r="V8" s="292" t="s">
        <v>370</v>
      </c>
      <c r="W8" s="292"/>
      <c r="X8" s="292"/>
      <c r="Y8" s="293"/>
      <c r="Z8" s="292"/>
      <c r="AA8" s="292"/>
      <c r="AB8" s="293"/>
      <c r="AC8" s="292"/>
      <c r="AD8" s="292"/>
      <c r="AE8" s="292"/>
      <c r="AF8" s="292"/>
      <c r="AG8" s="292"/>
      <c r="AH8" s="292"/>
      <c r="AI8" s="292"/>
      <c r="AJ8" s="294"/>
    </row>
    <row r="9" spans="1:36" ht="12.75" customHeight="1" thickBot="1">
      <c r="A9" s="314" t="str">
        <f t="shared" si="2"/>
        <v>C6H14</v>
      </c>
      <c r="B9" s="776">
        <f>ROUND(B41*ПГ!$F$2,1)</f>
        <v>0</v>
      </c>
      <c r="C9" s="779">
        <f>ROUND(C41*ПГ!$F$2,-1)</f>
        <v>9330</v>
      </c>
      <c r="D9" s="774">
        <f>ROUND(D41*ПГ!$F$2,-1)</f>
        <v>9330</v>
      </c>
      <c r="E9" s="779">
        <f>ROUND(E41*ПГ!$F$2,-1)</f>
        <v>4820</v>
      </c>
      <c r="F9" s="774">
        <f>ROUND(F41*ПГ!$F$2,-1)</f>
        <v>4820</v>
      </c>
      <c r="G9" s="392">
        <v>2</v>
      </c>
      <c r="O9" s="291" t="s">
        <v>371</v>
      </c>
      <c r="P9" s="291">
        <f t="shared" si="1"/>
        <v>7</v>
      </c>
      <c r="Q9" s="292"/>
      <c r="R9" s="292"/>
      <c r="S9" s="292"/>
      <c r="T9" s="292"/>
      <c r="U9" s="292"/>
      <c r="V9" s="292"/>
      <c r="W9" s="292" t="s">
        <v>371</v>
      </c>
      <c r="X9" s="292"/>
      <c r="Y9" s="292"/>
      <c r="Z9" s="292"/>
      <c r="AA9" s="292"/>
      <c r="AB9" s="292"/>
      <c r="AC9" s="292">
        <v>1</v>
      </c>
      <c r="AD9" s="292">
        <v>1</v>
      </c>
      <c r="AE9" s="292"/>
      <c r="AF9" s="292"/>
      <c r="AG9" s="292">
        <v>1</v>
      </c>
      <c r="AH9" s="292"/>
      <c r="AI9" s="292"/>
      <c r="AJ9" s="294"/>
    </row>
    <row r="10" spans="1:36" ht="12.75" customHeight="1" thickBot="1">
      <c r="A10" s="314" t="str">
        <f t="shared" si="2"/>
        <v>CH4</v>
      </c>
      <c r="B10" s="776">
        <f>ROUND(B42*ПГ!$F$2,1)</f>
        <v>0</v>
      </c>
      <c r="C10" s="779">
        <f>ROUND(C42*ПГ!$F$2,-1)</f>
        <v>7590</v>
      </c>
      <c r="D10" s="774">
        <f>ROUND(D42*ПГ!$F$2,-1)</f>
        <v>7590</v>
      </c>
      <c r="E10" s="779">
        <f>ROUND(E42*ПГ!$F$2,-1)</f>
        <v>4900</v>
      </c>
      <c r="F10" s="774">
        <f>ROUND(F42*ПГ!$F$2,-1)</f>
        <v>4900</v>
      </c>
      <c r="G10" s="392">
        <v>2</v>
      </c>
      <c r="O10" s="291" t="s">
        <v>136</v>
      </c>
      <c r="P10" s="291">
        <f t="shared" si="1"/>
        <v>8</v>
      </c>
      <c r="Q10" s="292"/>
      <c r="R10" s="292"/>
      <c r="S10" s="292"/>
      <c r="T10" s="292"/>
      <c r="U10" s="292"/>
      <c r="V10" s="292"/>
      <c r="W10" s="292"/>
      <c r="X10" s="292" t="s">
        <v>136</v>
      </c>
      <c r="Y10" s="292"/>
      <c r="Z10" s="292"/>
      <c r="AA10" s="292"/>
      <c r="AB10" s="293"/>
      <c r="AC10" s="292"/>
      <c r="AD10" s="292"/>
      <c r="AE10" s="292"/>
      <c r="AF10" s="292"/>
      <c r="AG10" s="292"/>
      <c r="AH10" s="292"/>
      <c r="AI10" s="292"/>
      <c r="AJ10" s="294"/>
    </row>
    <row r="11" spans="1:36" ht="12.75" customHeight="1" thickBot="1">
      <c r="A11" s="314" t="str">
        <f t="shared" si="2"/>
        <v>CHopt</v>
      </c>
      <c r="B11" s="776">
        <f>ROUND(B43*ПГ!$F$2,1)</f>
        <v>0</v>
      </c>
      <c r="C11" s="779">
        <f>ROUND(C43*ПГ!$F$2,-1)</f>
        <v>17750</v>
      </c>
      <c r="D11" s="785">
        <f>ROUND(D43*ПГ!$F$2,-1)</f>
        <v>18640</v>
      </c>
      <c r="E11" s="779">
        <f>ROUND(E43*ПГ!$F$2,-1)</f>
        <v>4450</v>
      </c>
      <c r="F11" s="785">
        <f>ROUND(F43*ПГ!$F$2,-1)</f>
        <v>4450</v>
      </c>
      <c r="G11" s="392">
        <v>2</v>
      </c>
      <c r="H11" s="326" t="str">
        <f>H42</f>
        <v>Ангор-С</v>
      </c>
      <c r="I11" s="327" t="str">
        <f>I42</f>
        <v>Цена</v>
      </c>
      <c r="O11" s="291" t="s">
        <v>372</v>
      </c>
      <c r="P11" s="291">
        <f t="shared" si="1"/>
        <v>9</v>
      </c>
      <c r="Q11" s="292"/>
      <c r="R11" s="292"/>
      <c r="S11" s="292"/>
      <c r="T11" s="292"/>
      <c r="U11" s="292"/>
      <c r="V11" s="292"/>
      <c r="W11" s="292"/>
      <c r="X11" s="292"/>
      <c r="Y11" s="292" t="s">
        <v>372</v>
      </c>
      <c r="Z11" s="292"/>
      <c r="AA11" s="292"/>
      <c r="AB11" s="292">
        <v>1</v>
      </c>
      <c r="AC11" s="292"/>
      <c r="AD11" s="292"/>
      <c r="AE11" s="292"/>
      <c r="AF11" s="292"/>
      <c r="AG11" s="292"/>
      <c r="AH11" s="292"/>
      <c r="AI11" s="292"/>
      <c r="AJ11" s="294"/>
    </row>
    <row r="12" spans="1:36" ht="24" customHeight="1" thickBot="1">
      <c r="A12" s="314" t="str">
        <f t="shared" si="2"/>
        <v>Cl2</v>
      </c>
      <c r="B12" s="776">
        <f>ROUND(B44*ПГ!$F$2,1)</f>
        <v>0</v>
      </c>
      <c r="C12" s="779">
        <f>ROUND(C44*ПГ!$F$2,-1)</f>
        <v>9740</v>
      </c>
      <c r="D12" s="774">
        <f>ROUND(D44*ПГ!$F$2,-1)</f>
        <v>9740</v>
      </c>
      <c r="E12" s="779">
        <f>ROUND(E44*ПГ!$F$2,-1)</f>
        <v>10350</v>
      </c>
      <c r="F12" s="774">
        <f>ROUND(F44*ПГ!$F$2,-1)</f>
        <v>10350</v>
      </c>
      <c r="G12" s="392">
        <v>2</v>
      </c>
      <c r="H12" s="326" t="str">
        <f>H43</f>
        <v>(перечень газов)</v>
      </c>
      <c r="I12" s="327" t="str">
        <f>I43</f>
        <v>на 05.09.2018</v>
      </c>
      <c r="O12" s="291" t="s">
        <v>373</v>
      </c>
      <c r="P12" s="291">
        <f t="shared" si="1"/>
        <v>10</v>
      </c>
      <c r="Q12" s="292"/>
      <c r="R12" s="292"/>
      <c r="S12" s="292"/>
      <c r="T12" s="292"/>
      <c r="U12" s="292"/>
      <c r="V12" s="292"/>
      <c r="W12" s="292"/>
      <c r="X12" s="292"/>
      <c r="Y12" s="292"/>
      <c r="Z12" s="292" t="s">
        <v>373</v>
      </c>
      <c r="AA12" s="292"/>
      <c r="AB12" s="292"/>
      <c r="AC12" s="292"/>
      <c r="AD12" s="292"/>
      <c r="AE12" s="292"/>
      <c r="AF12" s="292"/>
      <c r="AG12" s="292"/>
      <c r="AH12" s="292"/>
      <c r="AI12" s="292"/>
      <c r="AJ12" s="294"/>
    </row>
    <row r="13" spans="1:36" ht="40.5" customHeight="1" thickBot="1">
      <c r="A13" s="314" t="str">
        <f t="shared" si="2"/>
        <v>CO</v>
      </c>
      <c r="B13" s="776">
        <f>ROUND(B45*ПГ!$F$2,1)</f>
        <v>0</v>
      </c>
      <c r="C13" s="779">
        <f>ROUND(C45*ПГ!$F$2,-1)</f>
        <v>10250</v>
      </c>
      <c r="D13" s="774">
        <f>ROUND(D45*ПГ!$F$2,-1)</f>
        <v>10250</v>
      </c>
      <c r="E13" s="779">
        <f>ROUND(E45*ПГ!$F$2,-1)</f>
        <v>4870</v>
      </c>
      <c r="F13" s="774">
        <f>ROUND(F45*ПГ!$F$2,-1)</f>
        <v>4870</v>
      </c>
      <c r="G13" s="392">
        <v>2</v>
      </c>
      <c r="H13" s="326" t="str">
        <f>H44</f>
        <v>O2</v>
      </c>
      <c r="I13" s="327">
        <f>ROUND(I44*ПГ!$F$2,-1)</f>
        <v>105950</v>
      </c>
      <c r="O13" s="306" t="s">
        <v>374</v>
      </c>
      <c r="P13" s="291">
        <f t="shared" si="1"/>
        <v>11</v>
      </c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3" t="s">
        <v>374</v>
      </c>
      <c r="AB13" s="292"/>
      <c r="AC13" s="292"/>
      <c r="AD13" s="292"/>
      <c r="AE13" s="292"/>
      <c r="AF13" s="292"/>
      <c r="AG13" s="292"/>
      <c r="AH13" s="292"/>
      <c r="AI13" s="292"/>
      <c r="AJ13" s="294"/>
    </row>
    <row r="14" spans="1:36" ht="12.75">
      <c r="A14" s="314" t="str">
        <f t="shared" si="2"/>
        <v>CO и гор.газ</v>
      </c>
      <c r="B14" s="776">
        <f>ROUND(B46*ПГ!$F$2,1)</f>
        <v>0</v>
      </c>
      <c r="C14" s="779">
        <f>ROUND(C46*ПГ!$F$2,-1)</f>
        <v>0</v>
      </c>
      <c r="D14" s="774">
        <f>ROUND(D46*ПГ!$F$2,-1)</f>
        <v>0</v>
      </c>
      <c r="E14" s="779">
        <f>ROUND(E46*ПГ!$F$2,-1)</f>
        <v>7420</v>
      </c>
      <c r="F14" s="774">
        <f>ROUND(F46*ПГ!$F$2,-1)</f>
        <v>7420</v>
      </c>
      <c r="G14" s="392">
        <v>2</v>
      </c>
      <c r="H14" s="326" t="str">
        <f>H45</f>
        <v>O2, CO</v>
      </c>
      <c r="I14" s="327">
        <f>ROUND(I45*ПГ!$F$2,-1)</f>
        <v>206590</v>
      </c>
      <c r="K14" s="298" t="s">
        <v>266</v>
      </c>
      <c r="L14" s="318" t="s">
        <v>375</v>
      </c>
      <c r="O14" s="291" t="s">
        <v>322</v>
      </c>
      <c r="P14" s="291">
        <f t="shared" si="1"/>
        <v>12</v>
      </c>
      <c r="Q14" s="292"/>
      <c r="R14" s="292"/>
      <c r="S14" s="292"/>
      <c r="T14" s="292"/>
      <c r="U14" s="292"/>
      <c r="V14" s="292"/>
      <c r="W14" s="292"/>
      <c r="X14" s="292">
        <v>1</v>
      </c>
      <c r="Y14" s="292"/>
      <c r="Z14" s="292"/>
      <c r="AA14" s="292"/>
      <c r="AB14" s="292" t="s">
        <v>322</v>
      </c>
      <c r="AC14" s="292">
        <v>1</v>
      </c>
      <c r="AD14" s="292"/>
      <c r="AE14" s="292"/>
      <c r="AF14" s="292"/>
      <c r="AG14" s="292"/>
      <c r="AH14" s="292"/>
      <c r="AI14" s="292"/>
      <c r="AJ14" s="294"/>
    </row>
    <row r="15" spans="1:36" ht="26.25" thickBot="1">
      <c r="A15" s="314" t="str">
        <f t="shared" si="2"/>
        <v>CO и метан</v>
      </c>
      <c r="B15" s="773"/>
      <c r="C15" s="773">
        <f>ROUND(C47*ПГ!$F$2,-1)</f>
        <v>0</v>
      </c>
      <c r="D15" s="773">
        <f>ROUND(D47*ПГ!$F$2,-1)</f>
        <v>0</v>
      </c>
      <c r="E15" s="779">
        <f>ROUND(E47*ПГ!$F$2,-1)</f>
        <v>7420</v>
      </c>
      <c r="F15" s="774">
        <f>ROUND(F47*ПГ!$F$2,-1)</f>
        <v>7420</v>
      </c>
      <c r="G15" s="773"/>
      <c r="H15" s="326" t="str">
        <f>H46</f>
        <v>O2, CO, NO</v>
      </c>
      <c r="I15" s="327">
        <f>ROUND(I46*ПГ!$F$2,-1)</f>
        <v>238380</v>
      </c>
      <c r="K15" s="228" t="s">
        <v>376</v>
      </c>
      <c r="L15" s="319" t="s">
        <v>377</v>
      </c>
      <c r="O15" s="291" t="s">
        <v>378</v>
      </c>
      <c r="P15" s="291">
        <f t="shared" si="1"/>
        <v>13</v>
      </c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>
        <v>1</v>
      </c>
      <c r="AC15" s="292" t="s">
        <v>378</v>
      </c>
      <c r="AD15" s="292"/>
      <c r="AE15" s="292"/>
      <c r="AF15" s="292"/>
      <c r="AG15" s="292"/>
      <c r="AH15" s="292"/>
      <c r="AI15" s="292"/>
      <c r="AJ15" s="294"/>
    </row>
    <row r="16" spans="1:36" ht="13.5" thickBot="1">
      <c r="A16" s="322" t="str">
        <f>A48</f>
        <v>CO2</v>
      </c>
      <c r="B16" s="776">
        <f>ROUND(B48*ПГ!$F$2,1)</f>
        <v>0</v>
      </c>
      <c r="C16" s="779">
        <f>ROUND(C48*ПГ!$F$2,-1)</f>
        <v>22940</v>
      </c>
      <c r="D16" s="774">
        <f>ROUND(D48*ПГ!$F$2,-1)</f>
        <v>24090</v>
      </c>
      <c r="E16" s="779">
        <f>ROUND(E48*ПГ!$F$2,-1)</f>
        <v>9640</v>
      </c>
      <c r="F16" s="774">
        <f>ROUND(F48*ПГ!$F$2,-1)</f>
        <v>9640</v>
      </c>
      <c r="G16" s="392">
        <v>1</v>
      </c>
      <c r="H16" s="326" t="str">
        <f>H47</f>
        <v>O2, NO</v>
      </c>
      <c r="I16" s="327">
        <f>ROUND(I47*ПГ!$F$2,-1)</f>
        <v>172170</v>
      </c>
      <c r="K16" s="320" t="str">
        <f aca="true" t="shared" si="3" ref="K16:K28">K47</f>
        <v>Аммиак</v>
      </c>
      <c r="L16" s="321">
        <f>ROUND(L47*ПГ!$F$2,-1)</f>
        <v>4610</v>
      </c>
      <c r="M16" s="321">
        <f>ROUND(M47*ПГ!$F$2,-1)</f>
        <v>5030</v>
      </c>
      <c r="N16" s="321">
        <f>ROUND(N47*ПГ!$F$2,-1)</f>
        <v>6670</v>
      </c>
      <c r="O16" s="291" t="s">
        <v>48</v>
      </c>
      <c r="P16" s="291">
        <f t="shared" si="1"/>
        <v>14</v>
      </c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>
        <v>1</v>
      </c>
      <c r="AD16" s="292" t="s">
        <v>48</v>
      </c>
      <c r="AE16" s="292"/>
      <c r="AF16" s="292"/>
      <c r="AG16" s="292"/>
      <c r="AH16" s="292"/>
      <c r="AI16" s="292"/>
      <c r="AJ16" s="294">
        <v>1</v>
      </c>
    </row>
    <row r="17" spans="1:36" ht="26.25" thickBot="1">
      <c r="A17" s="314" t="str">
        <f>A49</f>
        <v>CO-горюч.</v>
      </c>
      <c r="B17" s="773"/>
      <c r="C17" s="773">
        <f>ROUND(C49*ПГ!$F$2,-1)</f>
        <v>9330</v>
      </c>
      <c r="D17" s="773">
        <f>ROUND(D49*ПГ!$F$2,-1)</f>
        <v>9330</v>
      </c>
      <c r="E17" s="779">
        <f>ROUND(E49*ПГ!$F$2,-1)</f>
        <v>4820</v>
      </c>
      <c r="F17" s="774">
        <f>ROUND(F49*ПГ!$F$2,-1)</f>
        <v>4820</v>
      </c>
      <c r="G17" s="773">
        <v>2</v>
      </c>
      <c r="J17" s="325"/>
      <c r="K17" s="320" t="str">
        <f t="shared" si="3"/>
        <v>Диоксид азота</v>
      </c>
      <c r="L17" s="321">
        <f>ROUND(L48*ПГ!$F$2,-1)</f>
        <v>4610</v>
      </c>
      <c r="M17" s="321">
        <f>ROUND(M48*ПГ!$F$2,-1)</f>
        <v>5030</v>
      </c>
      <c r="N17" s="321">
        <f>ROUND(N48*ПГ!$F$2,-1)</f>
        <v>0</v>
      </c>
      <c r="O17" s="291" t="s">
        <v>117</v>
      </c>
      <c r="P17" s="291">
        <f t="shared" si="1"/>
        <v>15</v>
      </c>
      <c r="Q17" s="292"/>
      <c r="R17" s="292"/>
      <c r="S17" s="292"/>
      <c r="T17" s="292"/>
      <c r="U17" s="292"/>
      <c r="V17" s="292"/>
      <c r="W17" s="292">
        <v>1</v>
      </c>
      <c r="X17" s="292"/>
      <c r="Y17" s="292"/>
      <c r="Z17" s="292"/>
      <c r="AA17" s="292"/>
      <c r="AB17" s="292"/>
      <c r="AC17" s="292">
        <v>1</v>
      </c>
      <c r="AD17" s="292">
        <v>1</v>
      </c>
      <c r="AE17" s="292" t="s">
        <v>117</v>
      </c>
      <c r="AF17" s="292"/>
      <c r="AG17" s="292"/>
      <c r="AH17" s="292"/>
      <c r="AI17" s="292"/>
      <c r="AJ17" s="294">
        <v>1</v>
      </c>
    </row>
    <row r="18" spans="1:36" ht="54.75" customHeight="1" thickBot="1">
      <c r="A18" s="314" t="str">
        <f t="shared" si="2"/>
        <v>F2</v>
      </c>
      <c r="B18" s="776">
        <f>ROUND(B50*ПГ!$F$2,1)</f>
        <v>0</v>
      </c>
      <c r="C18" s="779">
        <f>ROUND(C50*ПГ!$F$2,-1)</f>
        <v>18010</v>
      </c>
      <c r="D18" s="774">
        <f>ROUND(D50*ПГ!$F$2,-1)</f>
        <v>18010</v>
      </c>
      <c r="E18" s="779">
        <f>ROUND(E50*ПГ!$F$2,-1)</f>
        <v>10330</v>
      </c>
      <c r="F18" s="774">
        <f>ROUND(F50*ПГ!$F$2,-1)</f>
        <v>10330</v>
      </c>
      <c r="G18" s="392">
        <v>2</v>
      </c>
      <c r="H18" s="329" t="str">
        <f>H49</f>
        <v>Анализатор остаточного активного хлора в воде ВАКХ-2000</v>
      </c>
      <c r="I18" s="327">
        <f>ROUND(I49*ПГ!$F$2,-1)</f>
        <v>45990</v>
      </c>
      <c r="K18" s="326" t="str">
        <f t="shared" si="3"/>
        <v>Диоксид серы</v>
      </c>
      <c r="L18" s="321">
        <f>ROUND(L49*ПГ!$F$2,-1)</f>
        <v>4610</v>
      </c>
      <c r="M18" s="321">
        <f>ROUND(M49*ПГ!$F$2,-1)</f>
        <v>5030</v>
      </c>
      <c r="N18" s="327">
        <f>ROUND(N49*ПГ!$F$2,-1)</f>
        <v>0</v>
      </c>
      <c r="O18" s="291" t="s">
        <v>379</v>
      </c>
      <c r="P18" s="291">
        <f t="shared" si="1"/>
        <v>16</v>
      </c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 t="s">
        <v>379</v>
      </c>
      <c r="AG18" s="292"/>
      <c r="AH18" s="292"/>
      <c r="AI18" s="292"/>
      <c r="AJ18" s="294"/>
    </row>
    <row r="19" spans="1:36" ht="192.75" thickBot="1">
      <c r="A19" s="314" t="str">
        <f t="shared" si="2"/>
        <v>H2</v>
      </c>
      <c r="B19" s="776">
        <f>ROUND(B51*ПГ!$F$2,1)</f>
        <v>0</v>
      </c>
      <c r="C19" s="779">
        <f>ROUND(C51*ПГ!$F$2,-1)</f>
        <v>9330</v>
      </c>
      <c r="D19" s="774">
        <f>ROUND(D51*ПГ!$F$2,-1)</f>
        <v>9330</v>
      </c>
      <c r="E19" s="779">
        <f>ROUND(E51*ПГ!$F$2,-1)</f>
        <v>4820</v>
      </c>
      <c r="F19" s="774">
        <f>ROUND(F51*ПГ!$F$2,-1)</f>
        <v>4820</v>
      </c>
      <c r="G19" s="392">
        <v>2</v>
      </c>
      <c r="H19" s="329" t="str">
        <f>H50</f>
        <v>Анализатор остаточного активного хлора в воде ВАКХ-2000С, стационарный, лабораторный, полуавтоматический</v>
      </c>
      <c r="I19" s="327">
        <f>ROUND(I50*ПГ!$F$2,-1)</f>
        <v>58930</v>
      </c>
      <c r="J19" s="325"/>
      <c r="K19" s="326" t="str">
        <f t="shared" si="3"/>
        <v>Кислород</v>
      </c>
      <c r="L19" s="321">
        <f>ROUND(L50*ПГ!$F$2,-1)</f>
        <v>4610</v>
      </c>
      <c r="M19" s="321">
        <f>ROUND(M50*ПГ!$F$2,-1)</f>
        <v>5030</v>
      </c>
      <c r="N19" s="327">
        <f>ROUND(N50*ПГ!$F$2,-1)</f>
        <v>0</v>
      </c>
      <c r="O19" s="291" t="s">
        <v>380</v>
      </c>
      <c r="P19" s="291">
        <f t="shared" si="1"/>
        <v>17</v>
      </c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>
        <v>1</v>
      </c>
      <c r="AD19" s="292">
        <v>1</v>
      </c>
      <c r="AE19" s="292"/>
      <c r="AF19" s="292"/>
      <c r="AG19" s="292" t="s">
        <v>380</v>
      </c>
      <c r="AH19" s="292"/>
      <c r="AI19" s="292"/>
      <c r="AJ19" s="294">
        <v>1</v>
      </c>
    </row>
    <row r="20" spans="1:36" ht="65.25" customHeight="1" thickBot="1">
      <c r="A20" s="314" t="str">
        <f t="shared" si="2"/>
        <v>H2S</v>
      </c>
      <c r="B20" s="776">
        <f>ROUND(B52*ПГ!$F$2,1)</f>
        <v>0</v>
      </c>
      <c r="C20" s="779">
        <f>ROUND(C52*ПГ!$F$2,-1)</f>
        <v>10310</v>
      </c>
      <c r="D20" s="774">
        <f>ROUND(D52*ПГ!$F$2,-1)</f>
        <v>10310</v>
      </c>
      <c r="E20" s="779">
        <f>ROUND(E52*ПГ!$F$2,-1)</f>
        <v>10320</v>
      </c>
      <c r="F20" s="774">
        <f>ROUND(F52*ПГ!$F$2,-1)</f>
        <v>10320</v>
      </c>
      <c r="G20" s="392">
        <v>1</v>
      </c>
      <c r="H20" s="329" t="str">
        <f>H51</f>
        <v>Анализатор остаточного активного хлора в воде ВАКХ-2000С, стационарный, проточный, автоматический</v>
      </c>
      <c r="I20" s="327">
        <f>ROUND(I51*ПГ!$F$2,-1)</f>
        <v>118600</v>
      </c>
      <c r="J20" s="325"/>
      <c r="K20" s="326" t="str">
        <f t="shared" si="3"/>
        <v>Метан и др. горючие газы</v>
      </c>
      <c r="L20" s="327">
        <f>ROUND(L51*ПГ!$F$2,-1)</f>
        <v>2150</v>
      </c>
      <c r="N20" s="327">
        <f>ROUND(N51*ПГ!$F$2,-1)</f>
        <v>0</v>
      </c>
      <c r="O20" s="291" t="s">
        <v>381</v>
      </c>
      <c r="P20" s="291">
        <f t="shared" si="1"/>
        <v>18</v>
      </c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 t="s">
        <v>381</v>
      </c>
      <c r="AI20" s="292"/>
      <c r="AJ20" s="294"/>
    </row>
    <row r="21" spans="1:36" ht="20.25" customHeight="1" thickBot="1">
      <c r="A21" s="314" t="str">
        <f t="shared" si="2"/>
        <v>HCl</v>
      </c>
      <c r="B21" s="776">
        <f>ROUND(B53*ПГ!$F$2,1)</f>
        <v>0</v>
      </c>
      <c r="C21" s="779">
        <f>ROUND(C53*ПГ!$F$2,-1)</f>
        <v>20680</v>
      </c>
      <c r="D21" s="785">
        <f>ROUND(D53*ПГ!$F$2,-1)</f>
        <v>20680</v>
      </c>
      <c r="E21" s="779">
        <f>ROUND(E53*ПГ!$F$2,-1)</f>
        <v>10100</v>
      </c>
      <c r="F21" s="785">
        <f>ROUND(F53*ПГ!$F$2,-1)</f>
        <v>10100</v>
      </c>
      <c r="G21" s="253">
        <v>1</v>
      </c>
      <c r="J21" s="325"/>
      <c r="K21" s="326" t="str">
        <f t="shared" si="3"/>
        <v>Сероводород</v>
      </c>
      <c r="L21" s="327">
        <f>ROUND(L52*ПГ!$F$2,-1)</f>
        <v>4610</v>
      </c>
      <c r="M21" s="327">
        <f>ROUND(M52*ПГ!$F$2,-1)</f>
        <v>5030</v>
      </c>
      <c r="N21" s="327">
        <f>ROUND(N52*ПГ!$F$2,-1)</f>
        <v>0</v>
      </c>
      <c r="O21" s="545" t="s">
        <v>393</v>
      </c>
      <c r="P21" s="291">
        <f t="shared" si="1"/>
        <v>19</v>
      </c>
      <c r="Q21" s="292"/>
      <c r="R21" s="292"/>
      <c r="S21" s="292"/>
      <c r="T21" s="292"/>
      <c r="U21" s="292"/>
      <c r="V21" s="292"/>
      <c r="W21" s="292">
        <v>1</v>
      </c>
      <c r="X21" s="292"/>
      <c r="Y21" s="292"/>
      <c r="Z21" s="292"/>
      <c r="AA21" s="292"/>
      <c r="AB21" s="292"/>
      <c r="AC21" s="292"/>
      <c r="AD21" s="292"/>
      <c r="AE21" s="292"/>
      <c r="AF21" s="292"/>
      <c r="AG21" s="292">
        <v>1</v>
      </c>
      <c r="AH21" s="292"/>
      <c r="AI21" s="545" t="s">
        <v>393</v>
      </c>
      <c r="AJ21" s="294"/>
    </row>
    <row r="22" spans="1:36" ht="54.75" customHeight="1" thickBot="1">
      <c r="A22" s="314" t="str">
        <f t="shared" si="2"/>
        <v>HF</v>
      </c>
      <c r="B22" s="776">
        <f>ROUND(B54*ПГ!$F$2,1)</f>
        <v>0</v>
      </c>
      <c r="C22" s="779">
        <f>ROUND(C54*ПГ!$F$2,-1)</f>
        <v>26560</v>
      </c>
      <c r="D22" s="774">
        <f>ROUND(D54*ПГ!$F$2,-1)</f>
        <v>26560</v>
      </c>
      <c r="E22" s="779">
        <f>ROUND(E54*ПГ!$F$2,-1)</f>
        <v>9920</v>
      </c>
      <c r="F22" s="774">
        <f>ROUND(F54*ПГ!$F$2,-1)</f>
        <v>9920</v>
      </c>
      <c r="G22" s="253">
        <v>2</v>
      </c>
      <c r="H22" s="329" t="str">
        <f>H53</f>
        <v>Анализатор элементного состава "ТОПАЗ-C" с управляющим компьютером и устройством подачи чистого воздуха</v>
      </c>
      <c r="I22" s="330">
        <f>ROUND(I53*ПГ!$F$2,-1)</f>
        <v>675270</v>
      </c>
      <c r="K22" s="326" t="str">
        <f t="shared" si="3"/>
        <v>Угарный газ</v>
      </c>
      <c r="L22" s="327">
        <f>ROUND(L53*ПГ!$F$2,-1)</f>
        <v>4610</v>
      </c>
      <c r="M22" s="327">
        <f>ROUND(M53*ПГ!$F$2,-1)</f>
        <v>5030</v>
      </c>
      <c r="N22" s="327">
        <f>ROUND(N53*ПГ!$F$2,-1)</f>
        <v>7000</v>
      </c>
      <c r="O22" s="331" t="s">
        <v>263</v>
      </c>
      <c r="P22" s="331">
        <f t="shared" si="1"/>
        <v>20</v>
      </c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>
        <v>1</v>
      </c>
      <c r="AC22" s="332">
        <v>1</v>
      </c>
      <c r="AD22" s="332">
        <v>1</v>
      </c>
      <c r="AE22" s="332"/>
      <c r="AF22" s="332"/>
      <c r="AG22" s="332"/>
      <c r="AH22" s="332"/>
      <c r="AI22" s="332"/>
      <c r="AJ22" s="333" t="s">
        <v>263</v>
      </c>
    </row>
    <row r="23" spans="1:14" ht="52.5" customHeight="1" thickBot="1">
      <c r="A23" s="314" t="str">
        <f t="shared" si="2"/>
        <v>NH3</v>
      </c>
      <c r="B23" s="776">
        <f>ROUND(B55*ПГ!$F$2,1)</f>
        <v>0</v>
      </c>
      <c r="C23" s="779">
        <f>ROUND(C55*ПГ!$F$2,-1)</f>
        <v>11510</v>
      </c>
      <c r="D23" s="774">
        <f>ROUND(D55*ПГ!$F$2,-1)</f>
        <v>11510</v>
      </c>
      <c r="E23" s="779">
        <f>ROUND(E55*ПГ!$F$2,-1)</f>
        <v>10260</v>
      </c>
      <c r="F23" s="774">
        <f>ROUND(F55*ПГ!$F$2,-1)</f>
        <v>10260</v>
      </c>
      <c r="G23" s="253">
        <v>3</v>
      </c>
      <c r="H23" s="329" t="str">
        <f>H54</f>
        <v>Анализатор элементного состава "ТОПАЗ-N" с управляющим компьютером и устройством подачи чистого воздуха</v>
      </c>
      <c r="I23" s="334">
        <f>ROUND(I54*ПГ!$F$2,-1)</f>
        <v>702530</v>
      </c>
      <c r="K23" s="326" t="str">
        <f t="shared" si="3"/>
        <v>Фтор</v>
      </c>
      <c r="L23" s="327">
        <f>ROUND(L54*ПГ!$F$2,-1)</f>
        <v>6760</v>
      </c>
      <c r="N23" s="327">
        <f>ROUND(N54*ПГ!$F$2,-1)</f>
        <v>0</v>
      </c>
    </row>
    <row r="24" spans="1:17" ht="63" customHeight="1" thickBot="1">
      <c r="A24" s="314" t="str">
        <f t="shared" si="2"/>
        <v>NO2</v>
      </c>
      <c r="B24" s="776">
        <f>ROUND(B56*ПГ!$F$2,1)</f>
        <v>0</v>
      </c>
      <c r="C24" s="780">
        <f>ROUND(C56*ПГ!$F$2,-1)</f>
        <v>13870</v>
      </c>
      <c r="D24" s="785">
        <f>ROUND(D56*ПГ!$F$2,-1)</f>
        <v>13870</v>
      </c>
      <c r="E24" s="780">
        <f>ROUND(E56*ПГ!$F$2,-1)</f>
        <v>10530</v>
      </c>
      <c r="F24" s="785">
        <f>ROUND(F56*ПГ!$F$2,-1)</f>
        <v>10530</v>
      </c>
      <c r="G24" s="253">
        <v>1</v>
      </c>
      <c r="H24" s="329" t="str">
        <f>H55</f>
        <v>Анализатор элементного состава "ТОПАЗ-NC" с управляющим компьютером и устройством подачи чистого воздуха</v>
      </c>
      <c r="I24" s="335">
        <f>ROUND(I55*ПГ!$F$2,-1)</f>
        <v>879220</v>
      </c>
      <c r="K24" s="326" t="str">
        <f t="shared" si="3"/>
        <v>Фтористый водород</v>
      </c>
      <c r="L24" s="327">
        <f>ROUND(L55*ПГ!$F$2,-1)</f>
        <v>6760</v>
      </c>
      <c r="N24" s="327">
        <f>ROUND(N55*ПГ!$F$2,-1)</f>
        <v>8880</v>
      </c>
      <c r="P24" s="303" t="str">
        <f aca="true" t="shared" si="4" ref="P24:P35">P38</f>
        <v>Оптима</v>
      </c>
      <c r="Q24" s="304" t="s">
        <v>364</v>
      </c>
    </row>
    <row r="25" spans="1:17" ht="13.5" thickBot="1">
      <c r="A25" s="314" t="str">
        <f t="shared" si="2"/>
        <v>O2</v>
      </c>
      <c r="B25" s="776">
        <f>ROUND(B57*ПГ!$F$2,1)</f>
        <v>0</v>
      </c>
      <c r="C25" s="779">
        <f>ROUND(C57*ПГ!$F$2,-1)</f>
        <v>10660</v>
      </c>
      <c r="D25" s="774">
        <f>ROUND(D57*ПГ!$F$2,-1)</f>
        <v>10660</v>
      </c>
      <c r="E25" s="779">
        <f>ROUND(E57*ПГ!$F$2,-1)</f>
        <v>10680</v>
      </c>
      <c r="F25" s="774">
        <f>ROUND(F57*ПГ!$F$2,-1)</f>
        <v>10680</v>
      </c>
      <c r="G25" s="253">
        <v>1</v>
      </c>
      <c r="H25" s="328"/>
      <c r="J25" s="325"/>
      <c r="K25" s="326" t="str">
        <f t="shared" si="3"/>
        <v>Хлор</v>
      </c>
      <c r="L25" s="327">
        <f>ROUND(L56*ПГ!$F$2,-1)</f>
        <v>4610</v>
      </c>
      <c r="M25" s="327">
        <f>ROUND(M56*ПГ!$F$2,-1)</f>
        <v>5030</v>
      </c>
      <c r="N25" s="327">
        <f>ROUND(N56*ПГ!$F$2,-1)</f>
        <v>0</v>
      </c>
      <c r="P25" s="312" t="str">
        <f t="shared" si="4"/>
        <v>(перечень газов)</v>
      </c>
      <c r="Q25" s="313" t="s">
        <v>368</v>
      </c>
    </row>
    <row r="26" spans="1:17" ht="60.75" thickBot="1">
      <c r="A26" s="314" t="str">
        <f t="shared" si="2"/>
        <v>O3</v>
      </c>
      <c r="B26" s="776">
        <f>ROUND(B58*ПГ!$F$2,1)</f>
        <v>0</v>
      </c>
      <c r="C26" s="775">
        <f>ROUND(C58*ПГ!$F$2,-1)</f>
        <v>11260</v>
      </c>
      <c r="D26" s="781">
        <f>ROUND(D58*ПГ!$F$2,-1)</f>
        <v>11260</v>
      </c>
      <c r="E26" s="775">
        <f>ROUND(E58*ПГ!$F$2,-1)</f>
        <v>9860</v>
      </c>
      <c r="F26" s="781">
        <f>ROUND(F58*ПГ!$F$2,-1)</f>
        <v>9860</v>
      </c>
      <c r="G26" s="253">
        <v>1</v>
      </c>
      <c r="H26" s="339" t="str">
        <f aca="true" t="shared" si="5" ref="H26:H35">H57</f>
        <v>Генератор ПГСМ "ИНФАН ГР-_" k=2500</v>
      </c>
      <c r="I26" s="337">
        <f>ROUND(I57*ПГ!$F$2,-1)</f>
        <v>393970</v>
      </c>
      <c r="J26" s="496">
        <v>42156</v>
      </c>
      <c r="K26" s="326" t="str">
        <f t="shared" si="3"/>
        <v>Хлористый водород</v>
      </c>
      <c r="L26" s="327">
        <f>ROUND(L57*ПГ!$F$2,-1)</f>
        <v>6760</v>
      </c>
      <c r="N26" s="327">
        <f>ROUND(N57*ПГ!$F$2,-1)</f>
        <v>0</v>
      </c>
      <c r="P26" s="315" t="str">
        <f t="shared" si="4"/>
        <v>O2</v>
      </c>
      <c r="Q26" s="316">
        <f>ROUND(Q40*ПГ!$F$2,-1)</f>
        <v>48380</v>
      </c>
    </row>
    <row r="27" spans="1:17" ht="60.75" thickBot="1">
      <c r="A27" s="338" t="str">
        <f t="shared" si="2"/>
        <v>SO2</v>
      </c>
      <c r="B27" s="776">
        <f>ROUND(B59*ПГ!$F$2,1)</f>
        <v>0</v>
      </c>
      <c r="C27" s="782">
        <f>ROUND(C59*ПГ!$F$2,-1)</f>
        <v>10660</v>
      </c>
      <c r="D27" s="783">
        <f>ROUND(D59*ПГ!$F$2,-1)</f>
        <v>10660</v>
      </c>
      <c r="E27" s="782">
        <f>ROUND(E59*ПГ!$F$2,-1)</f>
        <v>10680</v>
      </c>
      <c r="F27" s="783">
        <f>ROUND(F59*ПГ!$F$2,-1)</f>
        <v>10680</v>
      </c>
      <c r="G27" s="267">
        <v>1</v>
      </c>
      <c r="H27" s="339" t="str">
        <f t="shared" si="5"/>
        <v>Генератор ПГСМ "ИНФАН ГР-_" k=450</v>
      </c>
      <c r="I27" s="337">
        <f>ROUND(I58*ПГ!$F$2,-1)</f>
        <v>346220</v>
      </c>
      <c r="J27" s="325"/>
      <c r="K27" s="326" t="str">
        <f t="shared" si="3"/>
        <v>Цианистый водород</v>
      </c>
      <c r="L27" s="327">
        <f>ROUND(L58*ПГ!$F$2,-1)</f>
        <v>13860</v>
      </c>
      <c r="N27" s="327">
        <f>ROUND(N58*ПГ!$F$2,-1)</f>
        <v>0</v>
      </c>
      <c r="P27" s="317" t="str">
        <f t="shared" si="4"/>
        <v>O2, CH4</v>
      </c>
      <c r="Q27" s="305">
        <f>ROUND(Q41*ПГ!$F$2,-1)</f>
        <v>78620</v>
      </c>
    </row>
    <row r="28" spans="2:17" ht="35.25" customHeight="1" thickBot="1">
      <c r="B28" s="340" t="str">
        <f aca="true" t="shared" si="6" ref="B28:B33">B60</f>
        <v>БР-10М, динрельс</v>
      </c>
      <c r="C28" s="341">
        <f>ROUND(C60*ПГ!$F$2,-1)</f>
        <v>2150</v>
      </c>
      <c r="D28" s="342">
        <f>ROUND(D60*ПГ!$F$2,-1)</f>
        <v>2150</v>
      </c>
      <c r="H28" s="339" t="str">
        <f t="shared" si="5"/>
        <v>Генератор ПГСМ "ИНФАН ГР-_" k=50</v>
      </c>
      <c r="I28" s="337">
        <f>ROUND(I59*ПГ!$F$2,-1)</f>
        <v>298460</v>
      </c>
      <c r="J28" s="325"/>
      <c r="K28" s="336" t="str">
        <f t="shared" si="3"/>
        <v>Ячейка генератора ГХ-120</v>
      </c>
      <c r="L28" s="337">
        <f>ROUND(L59*ПГ!$F$2,-1)</f>
        <v>4330</v>
      </c>
      <c r="N28" s="337">
        <f>ROUND(N58*ПГ!$F$2,-1)</f>
        <v>0</v>
      </c>
      <c r="P28" s="317" t="str">
        <f t="shared" si="4"/>
        <v>O2, CO</v>
      </c>
      <c r="Q28" s="305">
        <f>ROUND(Q42*ПГ!$F$2,-1)</f>
        <v>108860</v>
      </c>
    </row>
    <row r="29" spans="2:17" ht="38.25" customHeight="1" thickBot="1">
      <c r="B29" s="343" t="str">
        <f t="shared" si="6"/>
        <v>блок искрозащиты</v>
      </c>
      <c r="C29" s="344"/>
      <c r="D29" s="342">
        <f>ROUND(D61*ПГ!$F$2,-1)</f>
        <v>3900</v>
      </c>
      <c r="H29" s="339" t="str">
        <f t="shared" si="5"/>
        <v>Генератор ПГСМ "ИНФАН ФХГ-HCl "</v>
      </c>
      <c r="I29" s="337">
        <f>ROUND(I60*ПГ!$F$2,-1)</f>
        <v>666470</v>
      </c>
      <c r="J29" s="325"/>
      <c r="M29" s="1"/>
      <c r="N29" s="1"/>
      <c r="P29" s="317" t="str">
        <f t="shared" si="4"/>
        <v>O2, CO, CH4</v>
      </c>
      <c r="Q29" s="305">
        <f>ROUND(Q43*ПГ!$F$2,-1)</f>
        <v>123970</v>
      </c>
    </row>
    <row r="30" spans="2:17" ht="72.75" thickBot="1">
      <c r="B30" s="343" t="str">
        <f t="shared" si="6"/>
        <v>блок БППН</v>
      </c>
      <c r="C30" s="345"/>
      <c r="D30" s="346">
        <f>ROUND(D62*ПГ!$F$2,-1)</f>
        <v>4620</v>
      </c>
      <c r="H30" s="339" t="str">
        <f t="shared" si="5"/>
        <v>Генератор ПГСМ "ИНФАН ФХГ-HCl ЭХГР-Cl2"</v>
      </c>
      <c r="I30" s="337">
        <f>ROUND(I61*ПГ!$F$2,-1)</f>
        <v>875940</v>
      </c>
      <c r="J30" s="325"/>
      <c r="K30" s="320" t="e">
        <f>#REF!</f>
        <v>#REF!</v>
      </c>
      <c r="L30" s="321" t="e">
        <f>ROUND(#REF!*ПГ!$F$2,-1)</f>
        <v>#REF!</v>
      </c>
      <c r="M30" s="1"/>
      <c r="N30" s="1"/>
      <c r="P30" s="317" t="str">
        <f t="shared" si="4"/>
        <v>O2, CO, NO</v>
      </c>
      <c r="Q30" s="305">
        <f>ROUND(Q44*ПГ!$F$2,-1)</f>
        <v>139090</v>
      </c>
    </row>
    <row r="31" spans="2:17" ht="60.75" thickBot="1">
      <c r="B31" s="343" t="str">
        <f t="shared" si="6"/>
        <v>наценка на моноблок</v>
      </c>
      <c r="D31" s="346">
        <f>ROUND(D63*ПГ!$F$2,-1)</f>
        <v>1220</v>
      </c>
      <c r="H31" s="339" t="str">
        <f t="shared" si="5"/>
        <v>Генератор ПГСМ "ИНФАН ЭХГР-Cl2"</v>
      </c>
      <c r="I31" s="337">
        <f>ROUND(I62*ПГ!$F$2,-1)</f>
        <v>419100</v>
      </c>
      <c r="J31" s="325"/>
      <c r="K31" s="326" t="e">
        <f>#REF!</f>
        <v>#REF!</v>
      </c>
      <c r="L31" s="327" t="e">
        <f>ROUND(#REF!*ПГ!$F$2,-1)</f>
        <v>#REF!</v>
      </c>
      <c r="M31" s="1"/>
      <c r="N31" s="1"/>
      <c r="P31" s="317" t="str">
        <f t="shared" si="4"/>
        <v>O2, CO, NO, CH4</v>
      </c>
      <c r="Q31" s="305">
        <f>ROUND(Q45*ПГ!$F$2,-1)</f>
        <v>214690</v>
      </c>
    </row>
    <row r="32" spans="2:17" ht="60.75" thickBot="1">
      <c r="B32" s="343" t="str">
        <f t="shared" si="6"/>
        <v>блок коммутации/управления</v>
      </c>
      <c r="D32" s="346">
        <f>ROUND(D64*ПГ!$F$2,-1)</f>
        <v>10880</v>
      </c>
      <c r="H32" s="339" t="str">
        <f t="shared" si="5"/>
        <v>Генератор ПГСМ "ИНФАН ЭХГР-HCN"</v>
      </c>
      <c r="I32" s="337">
        <f>ROUND(I63*ПГ!$F$2,-1)</f>
        <v>666470</v>
      </c>
      <c r="K32" s="336" t="e">
        <f>#REF!</f>
        <v>#REF!</v>
      </c>
      <c r="L32" s="337" t="e">
        <f>ROUND(#REF!*ПГ!$F$2,-1)</f>
        <v>#REF!</v>
      </c>
      <c r="M32" s="1"/>
      <c r="N32" s="1"/>
      <c r="P32" s="317" t="str">
        <f t="shared" si="4"/>
        <v>O2, NO</v>
      </c>
      <c r="Q32" s="305">
        <f>ROUND(Q46*ПГ!$F$2,-1)</f>
        <v>108860</v>
      </c>
    </row>
    <row r="33" spans="2:17" ht="60.75" thickBot="1">
      <c r="B33" s="343" t="str">
        <f t="shared" si="6"/>
        <v>наценка на дисплей</v>
      </c>
      <c r="D33" s="346">
        <f>ROUND(D65*ПГ!$F$2,-1)</f>
        <v>2330</v>
      </c>
      <c r="H33" s="339" t="str">
        <f t="shared" si="5"/>
        <v>Генератор ПГСМ "ИНФАН ЭХГР-HF"</v>
      </c>
      <c r="I33" s="337">
        <f>ROUND(I64*ПГ!$F$2,-1)</f>
        <v>1023270</v>
      </c>
      <c r="K33" s="336"/>
      <c r="L33" s="337"/>
      <c r="M33" s="1"/>
      <c r="N33" s="1"/>
      <c r="P33" s="317" t="str">
        <f t="shared" si="4"/>
        <v>Шкаф пневматики</v>
      </c>
      <c r="Q33" s="305">
        <f>ROUND(Q47*ПГ!$F$2,-1)</f>
        <v>27220</v>
      </c>
    </row>
    <row r="34" spans="8:17" ht="60.75" thickBot="1">
      <c r="H34" s="339" t="str">
        <f t="shared" si="5"/>
        <v>Генератор ПГСМ "ИНФАН ЭХГР-SO2"</v>
      </c>
      <c r="I34" s="337">
        <f>ROUND(I65*ПГ!$F$2,-1)</f>
        <v>636290</v>
      </c>
      <c r="M34" s="1"/>
      <c r="N34" s="1"/>
      <c r="P34" s="317" t="str">
        <f t="shared" si="4"/>
        <v>Трансформатор 36В</v>
      </c>
      <c r="Q34" s="305">
        <f>ROUND(Q48*ПГ!$F$2,-1)</f>
        <v>2270</v>
      </c>
    </row>
    <row r="35" spans="8:17" ht="16.5" customHeight="1" thickBot="1">
      <c r="H35" s="339" t="str">
        <f t="shared" si="5"/>
        <v>ГР05М</v>
      </c>
      <c r="I35" s="337">
        <f>I66</f>
        <v>250000</v>
      </c>
      <c r="P35" s="323" t="str">
        <f t="shared" si="4"/>
        <v>Компрессор</v>
      </c>
      <c r="Q35" s="324">
        <f>ROUND(Q49*ПГ!$F$2,-1)</f>
        <v>10580</v>
      </c>
    </row>
    <row r="36" ht="24.75" customHeight="1"/>
    <row r="37" ht="13.5" thickBot="1"/>
    <row r="38" spans="1:17" ht="13.5" thickBot="1">
      <c r="A38" s="212"/>
      <c r="B38" s="298" t="s">
        <v>362</v>
      </c>
      <c r="C38" s="350" t="str">
        <f>CONCATENATE("цена канала на ",ПГ!$G$2)</f>
        <v>цена канала на 05.09.2018</v>
      </c>
      <c r="D38" s="300"/>
      <c r="E38" s="350" t="str">
        <f>CONCATENATE("цена корпуса на ",ПГ!$G$2)</f>
        <v>цена корпуса на 05.09.2018</v>
      </c>
      <c r="F38" s="301"/>
      <c r="P38" s="347" t="s">
        <v>382</v>
      </c>
      <c r="Q38" s="348" t="s">
        <v>375</v>
      </c>
    </row>
    <row r="39" spans="1:17" ht="13.5" thickBot="1">
      <c r="A39" s="307" t="s">
        <v>312</v>
      </c>
      <c r="B39" s="308" t="s">
        <v>365</v>
      </c>
      <c r="C39" s="309" t="s">
        <v>345</v>
      </c>
      <c r="D39" s="310" t="s">
        <v>366</v>
      </c>
      <c r="E39" s="309" t="s">
        <v>345</v>
      </c>
      <c r="F39" s="310" t="s">
        <v>366</v>
      </c>
      <c r="G39" s="540" t="s">
        <v>501</v>
      </c>
      <c r="P39" s="347" t="s">
        <v>376</v>
      </c>
      <c r="Q39" s="348" t="str">
        <f>CONCATENATE("на ",ПГ!$G$2)</f>
        <v>на 05.09.2018</v>
      </c>
    </row>
    <row r="40" spans="1:25" ht="15.75" thickBot="1" thickTop="1">
      <c r="A40" s="352" t="s">
        <v>283</v>
      </c>
      <c r="B40" s="470"/>
      <c r="C40" s="471">
        <v>9327.15</v>
      </c>
      <c r="D40" s="472">
        <v>9327.15</v>
      </c>
      <c r="E40" s="473">
        <v>4818.45</v>
      </c>
      <c r="F40" s="474">
        <v>4818.45</v>
      </c>
      <c r="G40" s="552" t="s">
        <v>518</v>
      </c>
      <c r="J40"/>
      <c r="K40"/>
      <c r="L40"/>
      <c r="P40" s="351" t="s">
        <v>383</v>
      </c>
      <c r="Q40" s="349">
        <v>48380</v>
      </c>
      <c r="X40">
        <v>4589</v>
      </c>
      <c r="Y40">
        <f>X40*1.05</f>
        <v>4818.45</v>
      </c>
    </row>
    <row r="41" spans="1:25" ht="15.75" thickBot="1" thickTop="1">
      <c r="A41" s="314" t="s">
        <v>284</v>
      </c>
      <c r="B41" s="475"/>
      <c r="C41" s="446">
        <v>9327.15</v>
      </c>
      <c r="D41" s="472">
        <v>9327.15</v>
      </c>
      <c r="E41" s="476">
        <v>4818.45</v>
      </c>
      <c r="F41" s="474">
        <v>4818.45</v>
      </c>
      <c r="P41" s="353" t="s">
        <v>384</v>
      </c>
      <c r="Q41" s="354">
        <v>78620</v>
      </c>
      <c r="T41">
        <f>D40+4*D41+D42+D57+F57+2*D62+6*D61-2*D60</f>
        <v>103905.875</v>
      </c>
      <c r="X41">
        <v>4589</v>
      </c>
      <c r="Y41">
        <f aca="true" t="shared" si="7" ref="Y41:Y59">X41*1.05</f>
        <v>4818.45</v>
      </c>
    </row>
    <row r="42" spans="1:25" ht="15" thickBot="1">
      <c r="A42" s="314" t="s">
        <v>282</v>
      </c>
      <c r="B42" s="475"/>
      <c r="C42" s="446">
        <v>7585.200000000001</v>
      </c>
      <c r="D42" s="472">
        <v>7585.200000000001</v>
      </c>
      <c r="E42" s="476">
        <v>4895.625</v>
      </c>
      <c r="F42" s="474">
        <v>4895.625</v>
      </c>
      <c r="H42" s="481" t="s">
        <v>467</v>
      </c>
      <c r="I42" s="481" t="s">
        <v>375</v>
      </c>
      <c r="J42" s="1"/>
      <c r="P42" s="355" t="s">
        <v>385</v>
      </c>
      <c r="Q42" s="356">
        <v>108860</v>
      </c>
      <c r="X42">
        <v>4662.5</v>
      </c>
      <c r="Y42">
        <f t="shared" si="7"/>
        <v>4895.625</v>
      </c>
    </row>
    <row r="43" spans="1:25" ht="39.75" thickBot="1" thickTop="1">
      <c r="A43" s="314" t="s">
        <v>36</v>
      </c>
      <c r="B43" s="475"/>
      <c r="C43" s="550">
        <v>17750.25</v>
      </c>
      <c r="D43" s="785">
        <v>18643.275</v>
      </c>
      <c r="E43" s="476">
        <v>4454.625</v>
      </c>
      <c r="F43" s="785">
        <v>4454.625</v>
      </c>
      <c r="H43" s="481" t="s">
        <v>376</v>
      </c>
      <c r="I43" s="481" t="str">
        <f>CONCATENATE("на ",ПГ!$G$2)</f>
        <v>на 05.09.2018</v>
      </c>
      <c r="J43" s="197"/>
      <c r="P43" s="355" t="s">
        <v>386</v>
      </c>
      <c r="Q43" s="356">
        <v>123970</v>
      </c>
      <c r="X43">
        <v>4242.5</v>
      </c>
      <c r="Y43">
        <f t="shared" si="7"/>
        <v>4454.625</v>
      </c>
    </row>
    <row r="44" spans="1:25" ht="39.75" thickBot="1" thickTop="1">
      <c r="A44" s="314" t="s">
        <v>371</v>
      </c>
      <c r="B44" s="475"/>
      <c r="C44" s="446">
        <v>9735.075</v>
      </c>
      <c r="D44" s="472">
        <v>9735.075</v>
      </c>
      <c r="E44" s="476">
        <v>10353</v>
      </c>
      <c r="F44" s="474">
        <v>10353</v>
      </c>
      <c r="G44" s="534"/>
      <c r="H44" s="481" t="s">
        <v>381</v>
      </c>
      <c r="I44" s="482">
        <v>105945</v>
      </c>
      <c r="J44" s="365" t="s">
        <v>881</v>
      </c>
      <c r="P44" s="355" t="s">
        <v>387</v>
      </c>
      <c r="Q44" s="356">
        <v>139090</v>
      </c>
      <c r="X44">
        <v>9860</v>
      </c>
      <c r="Y44">
        <f t="shared" si="7"/>
        <v>10353</v>
      </c>
    </row>
    <row r="45" spans="1:25" ht="39.75" thickBot="1" thickTop="1">
      <c r="A45" s="314" t="s">
        <v>136</v>
      </c>
      <c r="B45" s="475"/>
      <c r="C45" s="446">
        <v>10253.25</v>
      </c>
      <c r="D45" s="472">
        <v>10253.25</v>
      </c>
      <c r="E45" s="476">
        <v>4873.575</v>
      </c>
      <c r="F45" s="474">
        <v>4873.575</v>
      </c>
      <c r="G45" s="533"/>
      <c r="H45" s="481" t="s">
        <v>464</v>
      </c>
      <c r="I45" s="482">
        <v>206587.5</v>
      </c>
      <c r="J45" s="365" t="s">
        <v>881</v>
      </c>
      <c r="K45" t="s">
        <v>266</v>
      </c>
      <c r="L45" s="357" t="s">
        <v>375</v>
      </c>
      <c r="M45" t="s">
        <v>516</v>
      </c>
      <c r="P45" s="355" t="s">
        <v>388</v>
      </c>
      <c r="Q45" s="356">
        <v>214690</v>
      </c>
      <c r="X45">
        <v>4641.5</v>
      </c>
      <c r="Y45">
        <f t="shared" si="7"/>
        <v>4873.575</v>
      </c>
    </row>
    <row r="46" spans="1:25" ht="39.75" thickBot="1" thickTop="1">
      <c r="A46" s="314" t="s">
        <v>497</v>
      </c>
      <c r="B46" s="475"/>
      <c r="C46" s="477">
        <v>0</v>
      </c>
      <c r="D46" s="477">
        <v>0</v>
      </c>
      <c r="E46" s="476">
        <v>7420.35</v>
      </c>
      <c r="F46" s="477">
        <v>7420.35</v>
      </c>
      <c r="H46" s="481" t="s">
        <v>465</v>
      </c>
      <c r="I46" s="482">
        <v>238381.5</v>
      </c>
      <c r="J46" s="365" t="s">
        <v>881</v>
      </c>
      <c r="K46" t="s">
        <v>376</v>
      </c>
      <c r="L46" s="357" t="s">
        <v>514</v>
      </c>
      <c r="M46" s="357" t="s">
        <v>515</v>
      </c>
      <c r="P46" s="355" t="s">
        <v>389</v>
      </c>
      <c r="Q46" s="356">
        <v>108860</v>
      </c>
      <c r="X46">
        <v>7067</v>
      </c>
      <c r="Y46">
        <f t="shared" si="7"/>
        <v>7420.35</v>
      </c>
    </row>
    <row r="47" spans="1:25" ht="39.75" thickBot="1" thickTop="1">
      <c r="A47" s="314" t="s">
        <v>498</v>
      </c>
      <c r="B47" s="475"/>
      <c r="C47" s="477">
        <v>0</v>
      </c>
      <c r="D47" s="477">
        <v>0</v>
      </c>
      <c r="E47" s="476">
        <v>7420.35</v>
      </c>
      <c r="F47" s="477">
        <v>7420.35</v>
      </c>
      <c r="H47" s="481" t="s">
        <v>466</v>
      </c>
      <c r="I47" s="482">
        <v>172168.5</v>
      </c>
      <c r="J47" s="365" t="s">
        <v>881</v>
      </c>
      <c r="K47" s="191" t="s">
        <v>268</v>
      </c>
      <c r="L47" s="465">
        <v>4609.5</v>
      </c>
      <c r="M47" s="465">
        <v>5029.5</v>
      </c>
      <c r="N47" s="465">
        <v>6670</v>
      </c>
      <c r="O47" s="533"/>
      <c r="P47" s="358" t="s">
        <v>390</v>
      </c>
      <c r="Q47" s="356">
        <v>27220</v>
      </c>
      <c r="X47">
        <v>7067</v>
      </c>
      <c r="Y47">
        <f t="shared" si="7"/>
        <v>7420.35</v>
      </c>
    </row>
    <row r="48" spans="1:25" ht="35.25" customHeight="1" thickBot="1" thickTop="1">
      <c r="A48" s="322" t="s">
        <v>373</v>
      </c>
      <c r="B48" s="475"/>
      <c r="C48" s="550">
        <v>22943.025</v>
      </c>
      <c r="D48" s="551">
        <v>24089.625</v>
      </c>
      <c r="E48" s="476">
        <v>9636.375</v>
      </c>
      <c r="F48" s="474">
        <v>9636.375</v>
      </c>
      <c r="I48">
        <v>0</v>
      </c>
      <c r="K48" s="362" t="s">
        <v>269</v>
      </c>
      <c r="L48" s="465">
        <v>4609.5</v>
      </c>
      <c r="M48" s="465">
        <v>5029.5</v>
      </c>
      <c r="N48" s="440"/>
      <c r="O48" s="533"/>
      <c r="P48" s="360" t="s">
        <v>391</v>
      </c>
      <c r="Q48" s="356">
        <v>2270</v>
      </c>
      <c r="X48">
        <v>9177.5</v>
      </c>
      <c r="Y48">
        <f t="shared" si="7"/>
        <v>9636.375</v>
      </c>
    </row>
    <row r="49" spans="1:25" ht="34.5" customHeight="1" thickBot="1">
      <c r="A49" s="314" t="s">
        <v>524</v>
      </c>
      <c r="B49" s="475"/>
      <c r="C49" s="446">
        <v>9327.15</v>
      </c>
      <c r="D49" s="472">
        <v>9327.15</v>
      </c>
      <c r="E49" s="476">
        <v>4818.45</v>
      </c>
      <c r="F49" s="474">
        <v>4818.45</v>
      </c>
      <c r="H49" s="364" t="s">
        <v>247</v>
      </c>
      <c r="I49" s="367">
        <v>45990</v>
      </c>
      <c r="J49" s="365" t="s">
        <v>881</v>
      </c>
      <c r="K49" s="362" t="s">
        <v>270</v>
      </c>
      <c r="L49" s="465">
        <v>4609.5</v>
      </c>
      <c r="M49" s="465">
        <v>5029.5</v>
      </c>
      <c r="N49" s="440"/>
      <c r="O49" s="533"/>
      <c r="P49" s="358" t="s">
        <v>392</v>
      </c>
      <c r="Q49" s="361">
        <v>10580</v>
      </c>
      <c r="X49">
        <v>4589</v>
      </c>
      <c r="Y49">
        <f t="shared" si="7"/>
        <v>4818.45</v>
      </c>
    </row>
    <row r="50" spans="1:25" ht="30.75" customHeight="1" thickBot="1">
      <c r="A50" s="314" t="s">
        <v>374</v>
      </c>
      <c r="B50" s="475"/>
      <c r="C50" s="472">
        <v>18014.850000000002</v>
      </c>
      <c r="D50" s="472">
        <v>18014.850000000002</v>
      </c>
      <c r="E50" s="474">
        <v>10330.95</v>
      </c>
      <c r="F50" s="474">
        <v>10330.95</v>
      </c>
      <c r="H50" s="364" t="s">
        <v>480</v>
      </c>
      <c r="I50" s="367">
        <v>58926</v>
      </c>
      <c r="J50" s="365" t="s">
        <v>881</v>
      </c>
      <c r="K50" s="362" t="s">
        <v>271</v>
      </c>
      <c r="L50" s="465">
        <v>4609.5</v>
      </c>
      <c r="M50" s="465">
        <v>5029.5</v>
      </c>
      <c r="N50" s="440"/>
      <c r="O50" s="533"/>
      <c r="X50">
        <v>9839</v>
      </c>
      <c r="Y50">
        <f t="shared" si="7"/>
        <v>10330.95</v>
      </c>
    </row>
    <row r="51" spans="1:25" ht="33.75" customHeight="1" thickBot="1">
      <c r="A51" s="314" t="s">
        <v>322</v>
      </c>
      <c r="B51" s="475"/>
      <c r="C51" s="446">
        <v>9327.15</v>
      </c>
      <c r="D51" s="472">
        <v>9327.15</v>
      </c>
      <c r="E51" s="476">
        <v>4818.45</v>
      </c>
      <c r="F51" s="474">
        <v>4818.45</v>
      </c>
      <c r="G51" s="366"/>
      <c r="H51" s="529" t="s">
        <v>248</v>
      </c>
      <c r="I51" s="530">
        <v>118597.5</v>
      </c>
      <c r="J51" s="365" t="s">
        <v>881</v>
      </c>
      <c r="K51" s="362" t="s">
        <v>272</v>
      </c>
      <c r="L51" s="465">
        <v>2152.5</v>
      </c>
      <c r="N51" s="440"/>
      <c r="X51">
        <v>4589</v>
      </c>
      <c r="Y51">
        <f t="shared" si="7"/>
        <v>4818.45</v>
      </c>
    </row>
    <row r="52" spans="1:25" ht="38.25" customHeight="1" thickBot="1">
      <c r="A52" s="314" t="s">
        <v>378</v>
      </c>
      <c r="B52" s="475"/>
      <c r="C52" s="446">
        <v>10308.375</v>
      </c>
      <c r="D52" s="472">
        <v>10308.375</v>
      </c>
      <c r="E52" s="476">
        <v>10319.925000000001</v>
      </c>
      <c r="F52" s="474">
        <v>10319.925000000001</v>
      </c>
      <c r="G52" s="366"/>
      <c r="I52">
        <v>0</v>
      </c>
      <c r="K52" s="362" t="s">
        <v>273</v>
      </c>
      <c r="L52" s="465">
        <v>4609.5</v>
      </c>
      <c r="M52" s="465">
        <v>5029.5</v>
      </c>
      <c r="N52" s="440"/>
      <c r="O52" s="533"/>
      <c r="P52" s="314" t="s">
        <v>324</v>
      </c>
      <c r="Q52" s="475">
        <v>3930</v>
      </c>
      <c r="R52" s="446">
        <v>8060</v>
      </c>
      <c r="S52" s="472">
        <v>8060</v>
      </c>
      <c r="T52" s="476">
        <v>4580</v>
      </c>
      <c r="U52" s="474">
        <v>4580</v>
      </c>
      <c r="X52">
        <v>9828.5</v>
      </c>
      <c r="Y52">
        <f t="shared" si="7"/>
        <v>10319.925000000001</v>
      </c>
    </row>
    <row r="53" spans="1:25" ht="45" customHeight="1" thickBot="1">
      <c r="A53" s="314" t="s">
        <v>48</v>
      </c>
      <c r="B53" s="475"/>
      <c r="C53" s="446">
        <v>20682.9</v>
      </c>
      <c r="D53" s="785">
        <v>20682.9</v>
      </c>
      <c r="E53" s="476">
        <v>10099.425000000001</v>
      </c>
      <c r="F53" s="785">
        <v>10099.425000000001</v>
      </c>
      <c r="G53" s="366"/>
      <c r="H53" s="364" t="s">
        <v>490</v>
      </c>
      <c r="I53" s="460">
        <v>675265.5</v>
      </c>
      <c r="J53" s="538"/>
      <c r="K53" s="362" t="s">
        <v>274</v>
      </c>
      <c r="L53" s="465">
        <v>4609.5</v>
      </c>
      <c r="M53" s="465">
        <v>5029.5</v>
      </c>
      <c r="N53" s="467">
        <f>6670*1.05</f>
        <v>7003.5</v>
      </c>
      <c r="O53" s="533"/>
      <c r="P53" s="314" t="s">
        <v>498</v>
      </c>
      <c r="Q53" s="475">
        <v>5610</v>
      </c>
      <c r="R53" s="477">
        <v>0</v>
      </c>
      <c r="S53" s="477">
        <v>0</v>
      </c>
      <c r="T53" s="476">
        <v>6540</v>
      </c>
      <c r="U53" s="477">
        <v>6540</v>
      </c>
      <c r="X53">
        <v>9618.5</v>
      </c>
      <c r="Y53">
        <f t="shared" si="7"/>
        <v>10099.425000000001</v>
      </c>
    </row>
    <row r="54" spans="1:25" ht="204.75" thickBot="1">
      <c r="A54" s="314" t="s">
        <v>117</v>
      </c>
      <c r="B54" s="475"/>
      <c r="C54" s="446">
        <v>26559.225000000002</v>
      </c>
      <c r="D54" s="472">
        <v>26559.225000000002</v>
      </c>
      <c r="E54" s="476">
        <v>9923.025</v>
      </c>
      <c r="F54" s="474">
        <v>9923.025</v>
      </c>
      <c r="G54" s="366"/>
      <c r="H54" s="364" t="s">
        <v>491</v>
      </c>
      <c r="I54" s="461">
        <v>702534</v>
      </c>
      <c r="J54" s="538"/>
      <c r="K54" s="362" t="s">
        <v>275</v>
      </c>
      <c r="L54" s="466">
        <v>6762</v>
      </c>
      <c r="N54" s="440"/>
      <c r="O54" s="533"/>
      <c r="P54" s="314" t="s">
        <v>497</v>
      </c>
      <c r="Q54" s="475">
        <v>5610</v>
      </c>
      <c r="R54" s="477">
        <v>0</v>
      </c>
      <c r="S54" s="477">
        <v>0</v>
      </c>
      <c r="T54" s="476">
        <v>6540</v>
      </c>
      <c r="U54" s="477">
        <v>6540</v>
      </c>
      <c r="X54">
        <v>9450.5</v>
      </c>
      <c r="Y54">
        <f t="shared" si="7"/>
        <v>9923.025</v>
      </c>
    </row>
    <row r="55" spans="1:25" ht="204.75" thickBot="1">
      <c r="A55" s="314" t="s">
        <v>379</v>
      </c>
      <c r="B55" s="475"/>
      <c r="C55" s="446">
        <v>11510.1</v>
      </c>
      <c r="D55" s="472">
        <v>11510.1</v>
      </c>
      <c r="E55" s="476">
        <v>10264.800000000001</v>
      </c>
      <c r="F55" s="474">
        <v>10264.800000000001</v>
      </c>
      <c r="G55" s="366"/>
      <c r="H55" s="364" t="s">
        <v>492</v>
      </c>
      <c r="I55" s="462">
        <v>879217.5</v>
      </c>
      <c r="J55" s="538"/>
      <c r="K55" s="362" t="s">
        <v>276</v>
      </c>
      <c r="L55" s="466">
        <v>6762</v>
      </c>
      <c r="N55" s="467">
        <f>8460*1.05</f>
        <v>8883</v>
      </c>
      <c r="O55" s="533"/>
      <c r="X55">
        <v>9776</v>
      </c>
      <c r="Y55">
        <f t="shared" si="7"/>
        <v>10264.800000000001</v>
      </c>
    </row>
    <row r="56" spans="1:25" ht="16.5" thickBot="1">
      <c r="A56" s="314" t="s">
        <v>380</v>
      </c>
      <c r="B56" s="475"/>
      <c r="C56" s="446">
        <v>13869.45</v>
      </c>
      <c r="D56" s="785">
        <v>13869.45</v>
      </c>
      <c r="E56" s="476">
        <v>10529.4</v>
      </c>
      <c r="F56" s="785">
        <v>10529.4</v>
      </c>
      <c r="G56" s="366"/>
      <c r="I56">
        <v>0</v>
      </c>
      <c r="J56" s="359"/>
      <c r="K56" s="362" t="s">
        <v>277</v>
      </c>
      <c r="L56" s="465">
        <v>4609.5</v>
      </c>
      <c r="M56" s="465">
        <v>5029.5</v>
      </c>
      <c r="N56" s="440">
        <v>0</v>
      </c>
      <c r="O56" s="533"/>
      <c r="X56">
        <v>10028</v>
      </c>
      <c r="Y56">
        <f t="shared" si="7"/>
        <v>10529.4</v>
      </c>
    </row>
    <row r="57" spans="1:25" ht="75" customHeight="1" thickBot="1">
      <c r="A57" s="314" t="s">
        <v>381</v>
      </c>
      <c r="B57" s="475"/>
      <c r="C57" s="446">
        <v>10661.175000000001</v>
      </c>
      <c r="D57" s="472">
        <v>10661.175000000001</v>
      </c>
      <c r="E57" s="476">
        <v>10683.75</v>
      </c>
      <c r="F57" s="474">
        <v>10683.75</v>
      </c>
      <c r="G57" s="366"/>
      <c r="H57" s="181" t="s">
        <v>474</v>
      </c>
      <c r="I57" s="468">
        <v>393970.5</v>
      </c>
      <c r="J57" s="496"/>
      <c r="K57" s="362" t="s">
        <v>278</v>
      </c>
      <c r="L57" s="466">
        <v>6762</v>
      </c>
      <c r="N57" s="440">
        <v>0</v>
      </c>
      <c r="O57" s="533"/>
      <c r="X57">
        <v>10175</v>
      </c>
      <c r="Y57">
        <f t="shared" si="7"/>
        <v>10683.75</v>
      </c>
    </row>
    <row r="58" spans="1:25" ht="48.75" customHeight="1" thickBot="1">
      <c r="A58" s="314" t="s">
        <v>393</v>
      </c>
      <c r="B58" s="475"/>
      <c r="C58" s="477">
        <v>11256.525</v>
      </c>
      <c r="D58" s="477">
        <v>11256.525</v>
      </c>
      <c r="E58" s="477">
        <v>9856.875</v>
      </c>
      <c r="F58" s="477">
        <v>9856.875</v>
      </c>
      <c r="G58" s="363"/>
      <c r="H58" s="181" t="s">
        <v>250</v>
      </c>
      <c r="I58" s="468">
        <v>346216.5</v>
      </c>
      <c r="J58" s="464"/>
      <c r="K58" s="362" t="s">
        <v>482</v>
      </c>
      <c r="L58" s="466">
        <v>13860</v>
      </c>
      <c r="N58" s="440">
        <v>0</v>
      </c>
      <c r="X58">
        <v>9387.5</v>
      </c>
      <c r="Y58">
        <f t="shared" si="7"/>
        <v>9856.875</v>
      </c>
    </row>
    <row r="59" spans="1:25" ht="64.5" thickBot="1">
      <c r="A59" s="338" t="s">
        <v>263</v>
      </c>
      <c r="B59" s="478"/>
      <c r="C59" s="469">
        <v>10661.175000000001</v>
      </c>
      <c r="D59" s="479">
        <v>10661.175000000001</v>
      </c>
      <c r="E59" s="480">
        <v>10683.75</v>
      </c>
      <c r="F59" s="474">
        <v>10683.75</v>
      </c>
      <c r="H59" s="181" t="s">
        <v>252</v>
      </c>
      <c r="I59" s="463">
        <v>298462.5</v>
      </c>
      <c r="J59" s="464"/>
      <c r="K59" s="362" t="s">
        <v>279</v>
      </c>
      <c r="L59" s="466">
        <v>4326</v>
      </c>
      <c r="X59">
        <v>10175</v>
      </c>
      <c r="Y59">
        <f t="shared" si="7"/>
        <v>10683.75</v>
      </c>
    </row>
    <row r="60" spans="2:10" ht="64.5" thickBot="1">
      <c r="B60" s="541" t="s">
        <v>509</v>
      </c>
      <c r="C60" s="469">
        <v>2150</v>
      </c>
      <c r="D60" s="460">
        <f>C60</f>
        <v>2150</v>
      </c>
      <c r="H60" s="181" t="s">
        <v>488</v>
      </c>
      <c r="I60" s="463">
        <v>666466.5</v>
      </c>
      <c r="J60" s="464"/>
    </row>
    <row r="61" spans="2:12" ht="53.25" customHeight="1" thickBot="1">
      <c r="B61" s="542" t="s">
        <v>427</v>
      </c>
      <c r="C61" s="343"/>
      <c r="D61" s="461">
        <v>3900</v>
      </c>
      <c r="G61" s="371"/>
      <c r="H61" s="181" t="s">
        <v>485</v>
      </c>
      <c r="I61" s="463">
        <v>875941.5</v>
      </c>
      <c r="J61" s="464"/>
      <c r="K61"/>
      <c r="L61"/>
    </row>
    <row r="62" spans="2:12" ht="64.5" thickBot="1">
      <c r="B62" s="543" t="s">
        <v>429</v>
      </c>
      <c r="C62" s="343"/>
      <c r="D62" s="462">
        <v>4620</v>
      </c>
      <c r="H62" s="181" t="s">
        <v>254</v>
      </c>
      <c r="I62" s="463">
        <v>419097</v>
      </c>
      <c r="J62" s="464"/>
      <c r="K62"/>
      <c r="L62"/>
    </row>
    <row r="63" spans="2:12" ht="64.5" thickBot="1">
      <c r="B63" t="s">
        <v>394</v>
      </c>
      <c r="D63" s="443">
        <v>1218</v>
      </c>
      <c r="H63" s="181" t="s">
        <v>257</v>
      </c>
      <c r="I63" s="463">
        <v>666466.5</v>
      </c>
      <c r="J63" s="464"/>
      <c r="K63"/>
      <c r="L63"/>
    </row>
    <row r="64" spans="2:12" ht="64.5" thickBot="1">
      <c r="B64" t="s">
        <v>395</v>
      </c>
      <c r="D64" s="443">
        <v>10878</v>
      </c>
      <c r="H64" s="181" t="s">
        <v>260</v>
      </c>
      <c r="I64" s="463">
        <v>1023267</v>
      </c>
      <c r="J64" s="464"/>
      <c r="K64"/>
      <c r="L64"/>
    </row>
    <row r="65" spans="2:10" ht="64.5" thickBot="1">
      <c r="B65" t="s">
        <v>513</v>
      </c>
      <c r="D65" s="443">
        <v>2331</v>
      </c>
      <c r="H65" s="181" t="s">
        <v>262</v>
      </c>
      <c r="I65" s="463">
        <v>636289.5</v>
      </c>
      <c r="J65" s="372"/>
    </row>
    <row r="66" spans="8:9" ht="13.5" thickBot="1">
      <c r="H66" s="527" t="s">
        <v>265</v>
      </c>
      <c r="I66" s="528">
        <v>250000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Georgy</dc:creator>
  <cp:keywords/>
  <dc:description/>
  <cp:lastModifiedBy>User</cp:lastModifiedBy>
  <dcterms:created xsi:type="dcterms:W3CDTF">2009-04-29T07:53:59Z</dcterms:created>
  <dcterms:modified xsi:type="dcterms:W3CDTF">2021-10-07T07:31:04Z</dcterms:modified>
  <cp:category/>
  <cp:version/>
  <cp:contentType/>
  <cp:contentStatus/>
  <cp:revision>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